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65" windowHeight="8835" activeTab="0"/>
  </bookViews>
  <sheets>
    <sheet name="Cover" sheetId="1" r:id="rId1"/>
    <sheet name="2003 I" sheetId="2" r:id="rId2"/>
    <sheet name="2003 I Payroll" sheetId="3" r:id="rId3"/>
    <sheet name="2003 II" sheetId="4" r:id="rId4"/>
    <sheet name="2003 II CIP Funding" sheetId="5" r:id="rId5"/>
    <sheet name="2004" sheetId="6" r:id="rId6"/>
    <sheet name="2005" sheetId="7" r:id="rId7"/>
    <sheet name="Current Payroll Budget" sheetId="8" r:id="rId8"/>
  </sheets>
  <definedNames>
    <definedName name="_xlnm.Print_Area" localSheetId="1">'2003 I'!$A$1:$L$23</definedName>
    <definedName name="_xlnm.Print_Area" localSheetId="3">'2003 II'!$A$1:$N$27</definedName>
    <definedName name="_xlnm.Print_Area" localSheetId="5">'2004'!$A$1:$M$28</definedName>
    <definedName name="_xlnm.Print_Area" localSheetId="6">'2005'!$A$1:$N$31</definedName>
    <definedName name="_xlnm.Print_Area" localSheetId="0">'Cover'!$A$1:$I$22</definedName>
    <definedName name="_xlnm.Print_Area" localSheetId="7">'Current Payroll Budget'!$A$1:$E$24</definedName>
  </definedNames>
  <calcPr fullCalcOnLoad="1"/>
</workbook>
</file>

<file path=xl/comments2.xml><?xml version="1.0" encoding="utf-8"?>
<comments xmlns="http://schemas.openxmlformats.org/spreadsheetml/2006/main">
  <authors>
    <author>cadkins</author>
  </authors>
  <commentList>
    <comment ref="H7" authorId="0">
      <text>
        <r>
          <rPr>
            <b/>
            <sz val="8"/>
            <rFont val="Tahoma"/>
            <family val="0"/>
          </rPr>
          <t>cadkins:</t>
        </r>
        <r>
          <rPr>
            <sz val="8"/>
            <rFont val="Tahoma"/>
            <family val="0"/>
          </rPr>
          <t xml:space="preserve">
Refund from DA&amp;C $4275.68
</t>
        </r>
      </text>
    </comment>
  </commentList>
</comments>
</file>

<file path=xl/comments4.xml><?xml version="1.0" encoding="utf-8"?>
<comments xmlns="http://schemas.openxmlformats.org/spreadsheetml/2006/main">
  <authors>
    <author>cadkins</author>
  </authors>
  <commentList>
    <comment ref="L11" authorId="0">
      <text>
        <r>
          <rPr>
            <b/>
            <sz val="8"/>
            <rFont val="Tahoma"/>
            <family val="0"/>
          </rPr>
          <t>cadkins:</t>
        </r>
        <r>
          <rPr>
            <sz val="8"/>
            <rFont val="Tahoma"/>
            <family val="0"/>
          </rPr>
          <t xml:space="preserve">
Reserved for COOP
</t>
        </r>
      </text>
    </comment>
    <comment ref="L20" authorId="0">
      <text>
        <r>
          <rPr>
            <b/>
            <sz val="8"/>
            <rFont val="Tahoma"/>
            <family val="0"/>
          </rPr>
          <t>cadkins:</t>
        </r>
        <r>
          <rPr>
            <sz val="8"/>
            <rFont val="Tahoma"/>
            <family val="0"/>
          </rPr>
          <t xml:space="preserve">
Reserved for COOP</t>
        </r>
      </text>
    </comment>
    <comment ref="J13" authorId="0">
      <text>
        <r>
          <rPr>
            <b/>
            <sz val="8"/>
            <rFont val="Tahoma"/>
            <family val="0"/>
          </rPr>
          <t>cadkins:</t>
        </r>
        <r>
          <rPr>
            <sz val="8"/>
            <rFont val="Tahoma"/>
            <family val="0"/>
          </rPr>
          <t xml:space="preserve">
reserved for Exercises and MA (50K)</t>
        </r>
      </text>
    </comment>
  </commentList>
</comments>
</file>

<file path=xl/comments7.xml><?xml version="1.0" encoding="utf-8"?>
<comments xmlns="http://schemas.openxmlformats.org/spreadsheetml/2006/main">
  <authors>
    <author>cadkins</author>
  </authors>
  <commentList>
    <comment ref="H9" authorId="0">
      <text>
        <r>
          <rPr>
            <b/>
            <sz val="8"/>
            <rFont val="Tahoma"/>
            <family val="0"/>
          </rPr>
          <t>cadkins:</t>
        </r>
        <r>
          <rPr>
            <sz val="8"/>
            <rFont val="Tahoma"/>
            <family val="0"/>
          </rPr>
          <t xml:space="preserve">
50K Stakeholders
60 for Jamestown
remaining reserved
</t>
        </r>
      </text>
    </comment>
    <comment ref="J10" authorId="0">
      <text>
        <r>
          <rPr>
            <b/>
            <sz val="8"/>
            <rFont val="Tahoma"/>
            <family val="0"/>
          </rPr>
          <t>cadkins:</t>
        </r>
        <r>
          <rPr>
            <sz val="8"/>
            <rFont val="Tahoma"/>
            <family val="0"/>
          </rPr>
          <t xml:space="preserve">
Regional Allocations to be made in March 2006</t>
        </r>
      </text>
    </comment>
    <comment ref="J17" authorId="0">
      <text>
        <r>
          <rPr>
            <b/>
            <sz val="8"/>
            <rFont val="Tahoma"/>
            <family val="0"/>
          </rPr>
          <t>cadkins:</t>
        </r>
        <r>
          <rPr>
            <sz val="8"/>
            <rFont val="Tahoma"/>
            <family val="0"/>
          </rPr>
          <t xml:space="preserve">
reserved per OCP</t>
        </r>
      </text>
    </comment>
  </commentList>
</comments>
</file>

<file path=xl/sharedStrings.xml><?xml version="1.0" encoding="utf-8"?>
<sst xmlns="http://schemas.openxmlformats.org/spreadsheetml/2006/main" count="280" uniqueCount="183">
  <si>
    <t xml:space="preserve">Actual </t>
  </si>
  <si>
    <t>Pass Thru to Local Units of Gov't</t>
  </si>
  <si>
    <t>Notes:</t>
  </si>
  <si>
    <t>Budget (Allocation)</t>
  </si>
  <si>
    <t>Pass Thru to State Colleges/Universities</t>
  </si>
  <si>
    <t>Pass Thru to Commercial Airports</t>
  </si>
  <si>
    <t>Total Pass Thru - M &amp; A</t>
  </si>
  <si>
    <t>Personnel Expense</t>
  </si>
  <si>
    <t>(1) - Awards from 2004 "DOT" Exercise</t>
  </si>
  <si>
    <t>2004 State Homeland Security Program</t>
  </si>
  <si>
    <t>Program Award to Virginia</t>
  </si>
  <si>
    <t>Program Required Allocations</t>
  </si>
  <si>
    <t>Total Pass Thru - Local (80%)</t>
  </si>
  <si>
    <t>Total Pass Thru - State (20% minus M &amp; A)</t>
  </si>
  <si>
    <t>Pass Thru Funding</t>
  </si>
  <si>
    <t>as of</t>
  </si>
  <si>
    <t xml:space="preserve">Non-Personnel Expense </t>
  </si>
  <si>
    <t>Difference ($) Budget vs. Actual</t>
  </si>
  <si>
    <t>Pass Thru to State Authorities</t>
  </si>
  <si>
    <t xml:space="preserve">Competitive - Local </t>
  </si>
  <si>
    <r>
      <t xml:space="preserve">Pass Thru to State Agencies </t>
    </r>
    <r>
      <rPr>
        <sz val="6"/>
        <rFont val="Tahoma"/>
        <family val="2"/>
      </rPr>
      <t>(1)</t>
    </r>
  </si>
  <si>
    <r>
      <t xml:space="preserve">Pass Thru to State Agencies </t>
    </r>
    <r>
      <rPr>
        <sz val="6"/>
        <rFont val="Tahoma"/>
        <family val="2"/>
      </rPr>
      <t>(2)</t>
    </r>
  </si>
  <si>
    <t>2003 II State Homeland Security Grant Program</t>
  </si>
  <si>
    <t>Obligated Funds</t>
  </si>
  <si>
    <t>Pass Thru to State - Sect. Of Edu</t>
  </si>
  <si>
    <t>Local Portion (50%)</t>
  </si>
  <si>
    <t>State Portion (50%)</t>
  </si>
  <si>
    <t>Total  - CIP</t>
  </si>
  <si>
    <t>(1)  List of Personnel - Attachment "A"</t>
  </si>
  <si>
    <t>Employee Name</t>
  </si>
  <si>
    <t>Title</t>
  </si>
  <si>
    <t>Funding %</t>
  </si>
  <si>
    <t>Alma Burke</t>
  </si>
  <si>
    <t>Human Resources</t>
  </si>
  <si>
    <t>Brian Iverson</t>
  </si>
  <si>
    <t>EM Coordinator Manager I</t>
  </si>
  <si>
    <t>Cheryl Adkins</t>
  </si>
  <si>
    <t>Financial &amp; Auditing Pract I</t>
  </si>
  <si>
    <t>Julian Gilman</t>
  </si>
  <si>
    <t>Program Grants Manager</t>
  </si>
  <si>
    <t>Sue Byrne</t>
  </si>
  <si>
    <t>Vacant</t>
  </si>
  <si>
    <t>Trainer &amp; Instructor</t>
  </si>
  <si>
    <t>Trainer &amp; Exercise Officer</t>
  </si>
  <si>
    <t>Trainer &amp; Instructor II</t>
  </si>
  <si>
    <t>2003 I State Homeland Security Grant Program</t>
  </si>
  <si>
    <t xml:space="preserve">as of </t>
  </si>
  <si>
    <t>Pass Thru</t>
  </si>
  <si>
    <t xml:space="preserve">Program Required Allocations &amp; Budget </t>
  </si>
  <si>
    <t>AVAILABLE FUNDING</t>
  </si>
  <si>
    <t>Pass Thru to State Agencies</t>
  </si>
  <si>
    <t>Statewide Exercises (Retained)</t>
  </si>
  <si>
    <t xml:space="preserve">Statewide Training </t>
  </si>
  <si>
    <t>Operating</t>
  </si>
  <si>
    <t xml:space="preserve">Budget </t>
  </si>
  <si>
    <r>
      <t>Personnel Expense</t>
    </r>
    <r>
      <rPr>
        <sz val="6"/>
        <rFont val="Tahoma"/>
        <family val="2"/>
      </rPr>
      <t>(1)</t>
    </r>
  </si>
  <si>
    <r>
      <t>Non-Personnel Expense</t>
    </r>
    <r>
      <rPr>
        <sz val="6"/>
        <rFont val="Tahoma"/>
        <family val="2"/>
      </rPr>
      <t>(2)</t>
    </r>
  </si>
  <si>
    <t>Pass Thru to Other State Agencies</t>
  </si>
  <si>
    <t>Total Planning/Administration</t>
  </si>
  <si>
    <t xml:space="preserve">Total Award </t>
  </si>
  <si>
    <t>Operating-Management &amp; Administration    (M &amp; A)</t>
  </si>
  <si>
    <t>2005 State Homeland Security Program</t>
  </si>
  <si>
    <t>Competitive              Colleges &amp; Airports</t>
  </si>
  <si>
    <t>Competitive - Local/Region</t>
  </si>
  <si>
    <t>Training &amp; Exercises</t>
  </si>
  <si>
    <t>General Aviation Security</t>
  </si>
  <si>
    <t>Virginia Modeling &amp; Simulation Center</t>
  </si>
  <si>
    <t>State Homeland Security Program</t>
  </si>
  <si>
    <t>Contents:</t>
  </si>
  <si>
    <t>2003 I State Homeland Security Balance Sheet</t>
  </si>
  <si>
    <t>2003 I Payroll Expenses</t>
  </si>
  <si>
    <t>Page 3</t>
  </si>
  <si>
    <t>2003 II State Homeland Security Balance Sheet</t>
  </si>
  <si>
    <t>2004 State Homeland Security Program Balance Sheet</t>
  </si>
  <si>
    <t>2005 State Homeland Security Program Balance Sheet</t>
  </si>
  <si>
    <t>Page 6</t>
  </si>
  <si>
    <t>Page 7</t>
  </si>
  <si>
    <t>Competitive - Local Interoperability</t>
  </si>
  <si>
    <t>Competitive - Interoperability</t>
  </si>
  <si>
    <t>Positions Funded Through Homeland Security Grants</t>
  </si>
  <si>
    <t>FFY05 Homeland Security Grant</t>
  </si>
  <si>
    <t xml:space="preserve">Position </t>
  </si>
  <si>
    <t>Last</t>
  </si>
  <si>
    <t>First</t>
  </si>
  <si>
    <t>Category</t>
  </si>
  <si>
    <t>%</t>
  </si>
  <si>
    <t>Adkins</t>
  </si>
  <si>
    <t>Cheryl</t>
  </si>
  <si>
    <t>Accountant</t>
  </si>
  <si>
    <t>Admin</t>
  </si>
  <si>
    <t>Byrne</t>
  </si>
  <si>
    <t>Sue</t>
  </si>
  <si>
    <t>Clark</t>
  </si>
  <si>
    <t>Kenneth</t>
  </si>
  <si>
    <t>Tech Inst Super</t>
  </si>
  <si>
    <t>Training</t>
  </si>
  <si>
    <t>Gilman</t>
  </si>
  <si>
    <t>Julian</t>
  </si>
  <si>
    <t>Gr Program Admin Mnag</t>
  </si>
  <si>
    <t>Hart</t>
  </si>
  <si>
    <t>Hampton</t>
  </si>
  <si>
    <t>Exer/Train</t>
  </si>
  <si>
    <t>Technical Instructor</t>
  </si>
  <si>
    <t>Iverson</t>
  </si>
  <si>
    <t>Brian</t>
  </si>
  <si>
    <t>E.S. Haz Mat Specialist</t>
  </si>
  <si>
    <t>Maher</t>
  </si>
  <si>
    <t>Joann</t>
  </si>
  <si>
    <t>Program Support Tech</t>
  </si>
  <si>
    <t>Pyle</t>
  </si>
  <si>
    <t>Rex</t>
  </si>
  <si>
    <t>Public Relations Coord</t>
  </si>
  <si>
    <t>New Position</t>
  </si>
  <si>
    <t>Financial Anly (Audit)</t>
  </si>
  <si>
    <t>Brown</t>
  </si>
  <si>
    <t>Delores</t>
  </si>
  <si>
    <t>Essid</t>
  </si>
  <si>
    <t>Chris</t>
  </si>
  <si>
    <t>Morton</t>
  </si>
  <si>
    <t>Mark</t>
  </si>
  <si>
    <t>Grainger</t>
  </si>
  <si>
    <t>Steve</t>
  </si>
  <si>
    <t>Berry</t>
  </si>
  <si>
    <t>Thomas</t>
  </si>
  <si>
    <t>Bynum</t>
  </si>
  <si>
    <t>Melvin</t>
  </si>
  <si>
    <t>Project Code 52703</t>
  </si>
  <si>
    <t>Total Pass Thru</t>
  </si>
  <si>
    <t>Total</t>
  </si>
  <si>
    <t>Page 8</t>
  </si>
  <si>
    <t>(2)  Travel, meetings, rent, utilities, etc.</t>
  </si>
  <si>
    <r>
      <t xml:space="preserve">Critical Infrastructure Protection (CIP) Allocation </t>
    </r>
    <r>
      <rPr>
        <b/>
        <sz val="8"/>
        <rFont val="Tahoma"/>
        <family val="2"/>
      </rPr>
      <t>(2)</t>
    </r>
  </si>
  <si>
    <t>(2) - Detailed Summary of CIP Funding Attached</t>
  </si>
  <si>
    <t>Grant Award Total $ 4,491,000</t>
  </si>
  <si>
    <t>Orange Alert/Security Enhancements</t>
  </si>
  <si>
    <t>State Share</t>
  </si>
  <si>
    <t>Local Share</t>
  </si>
  <si>
    <t>Beginning Balance</t>
  </si>
  <si>
    <t>Supreme Court SE</t>
  </si>
  <si>
    <t>Department of General Services</t>
  </si>
  <si>
    <t>VDOT (BZPP) LOCAL</t>
  </si>
  <si>
    <t>Adjustment for payment to VDOT and VSU Code Orange Christmas</t>
  </si>
  <si>
    <t>Balance as of 6/1/05</t>
  </si>
  <si>
    <t xml:space="preserve">2003II State Homeland Security Grant Program - </t>
  </si>
  <si>
    <t>Critical Infrastructure Program</t>
  </si>
  <si>
    <t>Project Code 52713</t>
  </si>
  <si>
    <t>#1 Liberty Shield - Orange Alert</t>
  </si>
  <si>
    <t>#2 Christmas 2003 - Orange Alert</t>
  </si>
  <si>
    <t>Employees paid from 2003 1 (Project Code 52703) Grant</t>
  </si>
  <si>
    <t>Project Code 52704</t>
  </si>
  <si>
    <t>Project Code 52705</t>
  </si>
  <si>
    <t>Cheryl Burnes/Joann Maher</t>
  </si>
  <si>
    <t>Henrico County/NASCAR Race</t>
  </si>
  <si>
    <t>Revised 09/20/05</t>
  </si>
  <si>
    <t>Vincent</t>
  </si>
  <si>
    <t>Fred</t>
  </si>
  <si>
    <t>E.S. Operations Director</t>
  </si>
  <si>
    <t>Planning</t>
  </si>
  <si>
    <t>Gregory</t>
  </si>
  <si>
    <t>Robert</t>
  </si>
  <si>
    <t>E.S Planner</t>
  </si>
  <si>
    <t>Reserved for Office of Commonwealth Preparedness (OCP)</t>
  </si>
  <si>
    <t>Planning for Citizen Corp Activities</t>
  </si>
  <si>
    <t>(2) - Retained for other training &amp; exercise contingencies.</t>
  </si>
  <si>
    <t>Training/Exercise Related Costs (VDEM/Fire Programs)</t>
  </si>
  <si>
    <t>(1) - Awards from 2005 "DOT" Exercise (Pending)</t>
  </si>
  <si>
    <t xml:space="preserve">Current Payroll Expenses </t>
  </si>
  <si>
    <t>Page 2</t>
  </si>
  <si>
    <t>Page 4 &amp; 5</t>
  </si>
  <si>
    <t>City of Danville - Assessment of Critical Infrastructure &amp; Recommendations to Protect</t>
  </si>
  <si>
    <t>Commonwealth of VA - COOP - Development for Critical Infrastructure Agencies</t>
  </si>
  <si>
    <t>Available Funding</t>
  </si>
  <si>
    <t>Training &amp; Develop Cord</t>
  </si>
  <si>
    <t>Monthly Report</t>
  </si>
  <si>
    <t>Out of Print Notes:</t>
  </si>
  <si>
    <t>Funds Returned to the State</t>
  </si>
  <si>
    <t>VSP</t>
  </si>
  <si>
    <t>VITA</t>
  </si>
  <si>
    <t>(2) - "Off the Top" Allocations</t>
  </si>
  <si>
    <t>*Waiting for approval from G&amp;T for two CIP projects</t>
  </si>
  <si>
    <t>DA&amp;C</t>
  </si>
  <si>
    <t>Security Enhancements</t>
  </si>
  <si>
    <t>Virginia Department of Health - Local Project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</si>
</sst>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mmm\ d\,\ yyyy"/>
  </numFmts>
  <fonts count="20">
    <font>
      <sz val="12"/>
      <name val="Times New Roman"/>
      <family val="0"/>
    </font>
    <font>
      <sz val="10"/>
      <name val="Arial"/>
      <family val="0"/>
    </font>
    <font>
      <b/>
      <sz val="12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6"/>
      <name val="Tahoma"/>
      <family val="2"/>
    </font>
    <font>
      <b/>
      <sz val="12"/>
      <name val="Times New Roman"/>
      <family val="1"/>
    </font>
    <font>
      <b/>
      <u val="single"/>
      <sz val="10"/>
      <name val="Tahoma"/>
      <family val="2"/>
    </font>
    <font>
      <sz val="12"/>
      <name val="Tahoma"/>
      <family val="2"/>
    </font>
    <font>
      <sz val="9"/>
      <name val="Tahoma"/>
      <family val="2"/>
    </font>
    <font>
      <sz val="14"/>
      <name val="Tahoma"/>
      <family val="2"/>
    </font>
    <font>
      <u val="single"/>
      <sz val="10"/>
      <name val="Tahoma"/>
      <family val="2"/>
    </font>
    <font>
      <i/>
      <sz val="12"/>
      <name val="Times New Roman"/>
      <family val="1"/>
    </font>
    <font>
      <sz val="9"/>
      <name val="Arial"/>
      <family val="0"/>
    </font>
    <font>
      <b/>
      <sz val="8"/>
      <name val="Tahoma"/>
      <family val="2"/>
    </font>
    <font>
      <sz val="10"/>
      <name val="Times New Roman"/>
      <family val="0"/>
    </font>
    <font>
      <sz val="10"/>
      <color indexed="8"/>
      <name val="Tahoma"/>
      <family val="2"/>
    </font>
    <font>
      <sz val="8"/>
      <name val="Tahoma"/>
      <family val="0"/>
    </font>
    <font>
      <b/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 applyFill="1" applyBorder="1" applyAlignment="1" applyProtection="1">
      <alignment wrapText="1"/>
      <protection/>
    </xf>
    <xf numFmtId="164" fontId="2" fillId="0" borderId="0" xfId="19" applyNumberFormat="1" applyFont="1" applyFill="1" applyBorder="1" applyAlignment="1" applyProtection="1">
      <alignment wrapText="1"/>
      <protection/>
    </xf>
    <xf numFmtId="0" fontId="3" fillId="0" borderId="0" xfId="19" applyFont="1" applyFill="1" applyBorder="1" applyAlignment="1" applyProtection="1">
      <alignment wrapText="1"/>
      <protection/>
    </xf>
    <xf numFmtId="164" fontId="3" fillId="0" borderId="0" xfId="19" applyNumberFormat="1" applyFont="1" applyFill="1" applyBorder="1" applyAlignment="1" applyProtection="1">
      <alignment wrapText="1"/>
      <protection/>
    </xf>
    <xf numFmtId="0" fontId="4" fillId="0" borderId="1" xfId="19" applyNumberFormat="1" applyFont="1" applyFill="1" applyBorder="1" applyAlignment="1" applyProtection="1">
      <alignment horizontal="center" wrapText="1"/>
      <protection/>
    </xf>
    <xf numFmtId="42" fontId="4" fillId="0" borderId="1" xfId="19" applyNumberFormat="1" applyFont="1" applyFill="1" applyBorder="1" applyAlignment="1" applyProtection="1">
      <alignment horizontal="center" wrapText="1"/>
      <protection/>
    </xf>
    <xf numFmtId="0" fontId="5" fillId="0" borderId="0" xfId="19" applyNumberFormat="1" applyFont="1" applyFill="1" applyBorder="1" applyAlignment="1" applyProtection="1">
      <alignment horizontal="left" wrapText="1"/>
      <protection/>
    </xf>
    <xf numFmtId="42" fontId="5" fillId="0" borderId="0" xfId="19" applyNumberFormat="1" applyFont="1" applyFill="1" applyBorder="1" applyAlignment="1" applyProtection="1">
      <alignment horizontal="left" wrapText="1"/>
      <protection/>
    </xf>
    <xf numFmtId="42" fontId="5" fillId="0" borderId="0" xfId="19" applyNumberFormat="1" applyFont="1" applyFill="1" applyBorder="1" applyAlignment="1" applyProtection="1">
      <alignment horizontal="left" wrapText="1"/>
      <protection locked="0"/>
    </xf>
    <xf numFmtId="42" fontId="5" fillId="0" borderId="2" xfId="19" applyNumberFormat="1" applyFont="1" applyFill="1" applyBorder="1" applyAlignment="1" applyProtection="1">
      <alignment horizontal="left" wrapText="1"/>
      <protection/>
    </xf>
    <xf numFmtId="41" fontId="5" fillId="0" borderId="2" xfId="19" applyNumberFormat="1" applyFont="1" applyFill="1" applyBorder="1" applyAlignment="1" applyProtection="1">
      <alignment horizontal="left" wrapText="1"/>
      <protection locked="0"/>
    </xf>
    <xf numFmtId="0" fontId="4" fillId="0" borderId="0" xfId="19" applyNumberFormat="1" applyFont="1" applyFill="1" applyBorder="1" applyAlignment="1" applyProtection="1">
      <alignment horizontal="left" wrapText="1"/>
      <protection/>
    </xf>
    <xf numFmtId="42" fontId="4" fillId="0" borderId="0" xfId="19" applyNumberFormat="1" applyFont="1" applyFill="1" applyBorder="1" applyAlignment="1" applyProtection="1">
      <alignment horizontal="left" wrapText="1"/>
      <protection/>
    </xf>
    <xf numFmtId="42" fontId="4" fillId="0" borderId="0" xfId="19" applyNumberFormat="1" applyFont="1" applyFill="1" applyBorder="1" applyAlignment="1" applyProtection="1">
      <alignment horizontal="left" wrapText="1"/>
      <protection locked="0"/>
    </xf>
    <xf numFmtId="0" fontId="4" fillId="2" borderId="0" xfId="19" applyNumberFormat="1" applyFont="1" applyFill="1" applyBorder="1" applyAlignment="1" applyProtection="1">
      <alignment horizontal="left" wrapText="1"/>
      <protection/>
    </xf>
    <xf numFmtId="42" fontId="4" fillId="2" borderId="0" xfId="19" applyNumberFormat="1" applyFont="1" applyFill="1" applyBorder="1" applyAlignment="1" applyProtection="1">
      <alignment horizontal="left" wrapText="1"/>
      <protection/>
    </xf>
    <xf numFmtId="42" fontId="4" fillId="2" borderId="0" xfId="19" applyNumberFormat="1" applyFont="1" applyFill="1" applyBorder="1" applyAlignment="1" applyProtection="1">
      <alignment horizontal="left" wrapText="1"/>
      <protection locked="0"/>
    </xf>
    <xf numFmtId="41" fontId="5" fillId="0" borderId="0" xfId="19" applyNumberFormat="1" applyFont="1" applyFill="1" applyBorder="1" applyAlignment="1" applyProtection="1">
      <alignment horizontal="left" wrapText="1"/>
      <protection locked="0"/>
    </xf>
    <xf numFmtId="42" fontId="5" fillId="0" borderId="0" xfId="19" applyNumberFormat="1" applyFont="1" applyFill="1" applyBorder="1" applyAlignment="1" applyProtection="1">
      <alignment horizontal="center" wrapText="1"/>
      <protection locked="0"/>
    </xf>
    <xf numFmtId="3" fontId="4" fillId="0" borderId="0" xfId="19" applyNumberFormat="1" applyFont="1" applyFill="1" applyBorder="1" applyAlignment="1" applyProtection="1">
      <alignment horizontal="left" wrapText="1"/>
      <protection/>
    </xf>
    <xf numFmtId="42" fontId="4" fillId="0" borderId="2" xfId="19" applyNumberFormat="1" applyFont="1" applyFill="1" applyBorder="1" applyAlignment="1" applyProtection="1">
      <alignment horizontal="left" wrapText="1"/>
      <protection/>
    </xf>
    <xf numFmtId="42" fontId="4" fillId="0" borderId="2" xfId="19" applyNumberFormat="1" applyFont="1" applyFill="1" applyBorder="1" applyAlignment="1" applyProtection="1">
      <alignment horizontal="left" wrapText="1"/>
      <protection locked="0"/>
    </xf>
    <xf numFmtId="0" fontId="4" fillId="0" borderId="0" xfId="19" applyFont="1" applyFill="1" applyBorder="1" applyAlignment="1" applyProtection="1">
      <alignment horizontal="left" wrapText="1"/>
      <protection/>
    </xf>
    <xf numFmtId="0" fontId="5" fillId="0" borderId="0" xfId="19" applyFont="1" applyFill="1" applyBorder="1" applyAlignment="1" applyProtection="1">
      <alignment horizontal="left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164" fontId="7" fillId="0" borderId="0" xfId="0" applyNumberFormat="1" applyFont="1" applyAlignment="1">
      <alignment wrapText="1"/>
    </xf>
    <xf numFmtId="0" fontId="4" fillId="0" borderId="1" xfId="0" applyFont="1" applyBorder="1" applyAlignment="1">
      <alignment horizontal="center" wrapText="1"/>
    </xf>
    <xf numFmtId="42" fontId="4" fillId="0" borderId="1" xfId="0" applyNumberFormat="1" applyFont="1" applyBorder="1" applyAlignment="1">
      <alignment horizontal="center" wrapText="1"/>
    </xf>
    <xf numFmtId="42" fontId="5" fillId="0" borderId="0" xfId="0" applyNumberFormat="1" applyFont="1" applyAlignment="1">
      <alignment horizontal="left" wrapText="1"/>
    </xf>
    <xf numFmtId="42" fontId="5" fillId="0" borderId="0" xfId="0" applyNumberFormat="1" applyFont="1" applyAlignment="1" applyProtection="1">
      <alignment horizontal="left" wrapText="1"/>
      <protection locked="0"/>
    </xf>
    <xf numFmtId="42" fontId="5" fillId="0" borderId="2" xfId="0" applyNumberFormat="1" applyFont="1" applyBorder="1" applyAlignment="1">
      <alignment horizontal="left" wrapText="1"/>
    </xf>
    <xf numFmtId="41" fontId="5" fillId="0" borderId="2" xfId="0" applyNumberFormat="1" applyFont="1" applyBorder="1" applyAlignment="1" applyProtection="1">
      <alignment horizontal="left" wrapText="1"/>
      <protection locked="0"/>
    </xf>
    <xf numFmtId="41" fontId="5" fillId="0" borderId="0" xfId="0" applyNumberFormat="1" applyFont="1" applyAlignment="1" applyProtection="1">
      <alignment horizontal="left" wrapText="1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42" fontId="4" fillId="0" borderId="0" xfId="0" applyNumberFormat="1" applyFont="1" applyAlignment="1">
      <alignment horizontal="left" wrapText="1"/>
    </xf>
    <xf numFmtId="42" fontId="4" fillId="0" borderId="0" xfId="0" applyNumberFormat="1" applyFont="1" applyAlignment="1" applyProtection="1">
      <alignment horizontal="left" wrapText="1"/>
      <protection locked="0"/>
    </xf>
    <xf numFmtId="0" fontId="4" fillId="3" borderId="0" xfId="0" applyFont="1" applyFill="1" applyAlignment="1">
      <alignment horizontal="left" wrapText="1"/>
    </xf>
    <xf numFmtId="42" fontId="4" fillId="3" borderId="0" xfId="0" applyNumberFormat="1" applyFont="1" applyFill="1" applyAlignment="1">
      <alignment horizontal="left" wrapText="1"/>
    </xf>
    <xf numFmtId="42" fontId="4" fillId="3" borderId="0" xfId="0" applyNumberFormat="1" applyFont="1" applyFill="1" applyAlignment="1" applyProtection="1">
      <alignment horizontal="left" wrapText="1"/>
      <protection locked="0"/>
    </xf>
    <xf numFmtId="42" fontId="5" fillId="0" borderId="0" xfId="0" applyNumberFormat="1" applyFont="1" applyAlignment="1" applyProtection="1">
      <alignment horizontal="center" wrapText="1"/>
      <protection locked="0"/>
    </xf>
    <xf numFmtId="42" fontId="5" fillId="0" borderId="2" xfId="0" applyNumberFormat="1" applyFont="1" applyBorder="1" applyAlignment="1" applyProtection="1">
      <alignment horizontal="center" wrapText="1"/>
      <protection locked="0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left" wrapText="1"/>
    </xf>
    <xf numFmtId="0" fontId="4" fillId="0" borderId="0" xfId="0" applyFont="1" applyAlignment="1" applyProtection="1">
      <alignment horizontal="left"/>
      <protection/>
    </xf>
    <xf numFmtId="0" fontId="8" fillId="0" borderId="0" xfId="0" applyFont="1" applyAlignment="1">
      <alignment horizontal="center"/>
    </xf>
    <xf numFmtId="9" fontId="5" fillId="0" borderId="0" xfId="0" applyNumberFormat="1" applyFont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wrapText="1"/>
      <protection/>
    </xf>
    <xf numFmtId="164" fontId="9" fillId="0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 wrapText="1"/>
      <protection/>
    </xf>
    <xf numFmtId="0" fontId="5" fillId="0" borderId="1" xfId="0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42" fontId="5" fillId="0" borderId="0" xfId="0" applyNumberFormat="1" applyFont="1" applyFill="1" applyBorder="1" applyAlignment="1" applyProtection="1">
      <alignment horizontal="left"/>
      <protection locked="0"/>
    </xf>
    <xf numFmtId="42" fontId="5" fillId="0" borderId="0" xfId="0" applyNumberFormat="1" applyFont="1" applyFill="1" applyBorder="1" applyAlignment="1" applyProtection="1">
      <alignment horizontal="left"/>
      <protection/>
    </xf>
    <xf numFmtId="42" fontId="5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42" fontId="4" fillId="0" borderId="0" xfId="0" applyNumberFormat="1" applyFont="1" applyFill="1" applyBorder="1" applyAlignment="1" applyProtection="1">
      <alignment horizontal="left"/>
      <protection locked="0"/>
    </xf>
    <xf numFmtId="42" fontId="4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5" fillId="0" borderId="1" xfId="0" applyFont="1" applyFill="1" applyBorder="1" applyAlignment="1" applyProtection="1">
      <alignment/>
      <protection/>
    </xf>
    <xf numFmtId="41" fontId="5" fillId="0" borderId="0" xfId="0" applyNumberFormat="1" applyFont="1" applyFill="1" applyBorder="1" applyAlignment="1" applyProtection="1">
      <alignment horizontal="left"/>
      <protection locked="0"/>
    </xf>
    <xf numFmtId="41" fontId="5" fillId="0" borderId="0" xfId="0" applyNumberFormat="1" applyFont="1" applyFill="1" applyBorder="1" applyAlignment="1" applyProtection="1">
      <alignment horizontal="left"/>
      <protection/>
    </xf>
    <xf numFmtId="41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42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left"/>
      <protection/>
    </xf>
    <xf numFmtId="3" fontId="5" fillId="0" borderId="2" xfId="0" applyNumberFormat="1" applyFont="1" applyFill="1" applyBorder="1" applyAlignment="1" applyProtection="1">
      <alignment horizontal="right"/>
      <protection locked="0"/>
    </xf>
    <xf numFmtId="3" fontId="5" fillId="0" borderId="2" xfId="0" applyNumberFormat="1" applyFont="1" applyFill="1" applyBorder="1" applyAlignment="1" applyProtection="1">
      <alignment horizontal="right"/>
      <protection/>
    </xf>
    <xf numFmtId="0" fontId="4" fillId="3" borderId="0" xfId="0" applyNumberFormat="1" applyFont="1" applyFill="1" applyBorder="1" applyAlignment="1" applyProtection="1">
      <alignment horizontal="left" wrapText="1"/>
      <protection/>
    </xf>
    <xf numFmtId="42" fontId="4" fillId="3" borderId="0" xfId="0" applyNumberFormat="1" applyFont="1" applyFill="1" applyBorder="1" applyAlignment="1" applyProtection="1">
      <alignment horizontal="left"/>
      <protection locked="0"/>
    </xf>
    <xf numFmtId="42" fontId="4" fillId="3" borderId="0" xfId="0" applyNumberFormat="1" applyFont="1" applyFill="1" applyBorder="1" applyAlignment="1" applyProtection="1">
      <alignment/>
      <protection/>
    </xf>
    <xf numFmtId="41" fontId="5" fillId="0" borderId="2" xfId="0" applyNumberFormat="1" applyFont="1" applyFill="1" applyBorder="1" applyAlignment="1" applyProtection="1">
      <alignment horizontal="left"/>
      <protection locked="0"/>
    </xf>
    <xf numFmtId="41" fontId="5" fillId="0" borderId="2" xfId="0" applyNumberFormat="1" applyFont="1" applyFill="1" applyBorder="1" applyAlignment="1" applyProtection="1">
      <alignment horizontal="left"/>
      <protection/>
    </xf>
    <xf numFmtId="0" fontId="5" fillId="0" borderId="2" xfId="0" applyFont="1" applyFill="1" applyBorder="1" applyAlignment="1" applyProtection="1">
      <alignment/>
      <protection/>
    </xf>
    <xf numFmtId="41" fontId="5" fillId="0" borderId="2" xfId="0" applyNumberFormat="1" applyFont="1" applyFill="1" applyBorder="1" applyAlignment="1" applyProtection="1">
      <alignment/>
      <protection/>
    </xf>
    <xf numFmtId="0" fontId="10" fillId="3" borderId="0" xfId="0" applyNumberFormat="1" applyFont="1" applyFill="1" applyBorder="1" applyAlignment="1" applyProtection="1">
      <alignment horizontal="left" wrapText="1"/>
      <protection/>
    </xf>
    <xf numFmtId="42" fontId="5" fillId="3" borderId="0" xfId="0" applyNumberFormat="1" applyFont="1" applyFill="1" applyBorder="1" applyAlignment="1" applyProtection="1">
      <alignment horizontal="left"/>
      <protection locked="0"/>
    </xf>
    <xf numFmtId="42" fontId="5" fillId="3" borderId="0" xfId="0" applyNumberFormat="1" applyFont="1" applyFill="1" applyBorder="1" applyAlignment="1" applyProtection="1">
      <alignment/>
      <protection/>
    </xf>
    <xf numFmtId="41" fontId="5" fillId="0" borderId="0" xfId="19" applyNumberFormat="1" applyFont="1" applyFill="1" applyBorder="1" applyAlignment="1" applyProtection="1">
      <alignment horizontal="left" wrapText="1"/>
      <protection/>
    </xf>
    <xf numFmtId="41" fontId="0" fillId="0" borderId="0" xfId="0" applyNumberFormat="1" applyAlignment="1">
      <alignment/>
    </xf>
    <xf numFmtId="41" fontId="0" fillId="0" borderId="2" xfId="0" applyNumberFormat="1" applyBorder="1" applyAlignment="1">
      <alignment/>
    </xf>
    <xf numFmtId="41" fontId="5" fillId="0" borderId="2" xfId="19" applyNumberFormat="1" applyFont="1" applyFill="1" applyBorder="1" applyAlignment="1" applyProtection="1">
      <alignment horizontal="left" wrapText="1"/>
      <protection/>
    </xf>
    <xf numFmtId="41" fontId="5" fillId="0" borderId="0" xfId="19" applyNumberFormat="1" applyFont="1" applyFill="1" applyBorder="1" applyAlignment="1" applyProtection="1">
      <alignment horizontal="center" wrapText="1"/>
      <protection locked="0"/>
    </xf>
    <xf numFmtId="0" fontId="8" fillId="0" borderId="0" xfId="19" applyFont="1" applyFill="1" applyBorder="1" applyAlignment="1" applyProtection="1">
      <alignment horizontal="left" wrapText="1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2" fontId="5" fillId="0" borderId="0" xfId="0" applyNumberFormat="1" applyFont="1" applyBorder="1" applyAlignment="1">
      <alignment horizontal="left" wrapText="1"/>
    </xf>
    <xf numFmtId="41" fontId="5" fillId="0" borderId="0" xfId="0" applyNumberFormat="1" applyFont="1" applyBorder="1" applyAlignment="1" applyProtection="1">
      <alignment horizontal="left" wrapText="1"/>
      <protection locked="0"/>
    </xf>
    <xf numFmtId="42" fontId="5" fillId="0" borderId="0" xfId="0" applyNumberFormat="1" applyFont="1" applyBorder="1" applyAlignment="1" applyProtection="1">
      <alignment horizontal="center" wrapText="1"/>
      <protection locked="0"/>
    </xf>
    <xf numFmtId="0" fontId="10" fillId="0" borderId="0" xfId="19" applyFont="1" applyFill="1" applyBorder="1" applyAlignment="1" applyProtection="1">
      <alignment horizontal="left" wrapText="1"/>
      <protection/>
    </xf>
    <xf numFmtId="42" fontId="10" fillId="0" borderId="0" xfId="19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>
      <alignment/>
    </xf>
    <xf numFmtId="42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8" fontId="5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/>
    </xf>
    <xf numFmtId="0" fontId="4" fillId="0" borderId="0" xfId="19" applyFont="1" applyFill="1" applyBorder="1" applyAlignment="1" applyProtection="1">
      <alignment wrapText="1"/>
      <protection/>
    </xf>
    <xf numFmtId="0" fontId="5" fillId="0" borderId="0" xfId="0" applyFont="1" applyBorder="1" applyAlignment="1">
      <alignment wrapText="1"/>
    </xf>
    <xf numFmtId="0" fontId="14" fillId="0" borderId="0" xfId="19" applyFont="1" applyFill="1" applyBorder="1" applyAlignment="1">
      <alignment horizontal="left" wrapText="1"/>
      <protection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9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9" fontId="4" fillId="0" borderId="4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9" fontId="5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9" fontId="5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4" fillId="0" borderId="1" xfId="0" applyNumberFormat="1" applyFont="1" applyFill="1" applyBorder="1" applyAlignment="1" applyProtection="1">
      <alignment horizontal="center"/>
      <protection/>
    </xf>
    <xf numFmtId="8" fontId="5" fillId="0" borderId="0" xfId="0" applyNumberFormat="1" applyFont="1" applyBorder="1" applyAlignment="1">
      <alignment/>
    </xf>
    <xf numFmtId="40" fontId="5" fillId="0" borderId="0" xfId="0" applyNumberFormat="1" applyFont="1" applyBorder="1" applyAlignment="1">
      <alignment/>
    </xf>
    <xf numFmtId="40" fontId="5" fillId="0" borderId="0" xfId="0" applyNumberFormat="1" applyFont="1" applyAlignment="1">
      <alignment/>
    </xf>
    <xf numFmtId="42" fontId="5" fillId="0" borderId="0" xfId="0" applyNumberFormat="1" applyFont="1" applyAlignment="1">
      <alignment/>
    </xf>
    <xf numFmtId="42" fontId="5" fillId="0" borderId="2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41" fontId="5" fillId="0" borderId="2" xfId="0" applyNumberFormat="1" applyFont="1" applyBorder="1" applyAlignment="1">
      <alignment/>
    </xf>
    <xf numFmtId="42" fontId="5" fillId="3" borderId="0" xfId="0" applyNumberFormat="1" applyFont="1" applyFill="1" applyAlignment="1">
      <alignment/>
    </xf>
    <xf numFmtId="42" fontId="4" fillId="0" borderId="0" xfId="19" applyNumberFormat="1" applyFont="1" applyFill="1" applyBorder="1" applyAlignment="1" applyProtection="1">
      <alignment horizontal="center" wrapText="1"/>
      <protection/>
    </xf>
    <xf numFmtId="42" fontId="5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42" fontId="4" fillId="0" borderId="0" xfId="0" applyNumberFormat="1" applyFont="1" applyAlignment="1">
      <alignment/>
    </xf>
    <xf numFmtId="0" fontId="0" fillId="3" borderId="0" xfId="0" applyFill="1" applyAlignment="1">
      <alignment/>
    </xf>
    <xf numFmtId="41" fontId="5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2" fontId="4" fillId="0" borderId="2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42" fontId="5" fillId="0" borderId="0" xfId="0" applyNumberFormat="1" applyFont="1" applyBorder="1" applyAlignment="1">
      <alignment/>
    </xf>
    <xf numFmtId="0" fontId="17" fillId="3" borderId="0" xfId="0" applyFont="1" applyFill="1" applyBorder="1" applyAlignment="1">
      <alignment wrapText="1"/>
    </xf>
    <xf numFmtId="42" fontId="17" fillId="3" borderId="0" xfId="19" applyNumberFormat="1" applyFont="1" applyFill="1" applyBorder="1" applyAlignment="1" applyProtection="1">
      <alignment horizontal="left" wrapText="1"/>
      <protection/>
    </xf>
    <xf numFmtId="42" fontId="17" fillId="3" borderId="0" xfId="19" applyNumberFormat="1" applyFont="1" applyFill="1" applyBorder="1" applyAlignment="1" applyProtection="1">
      <alignment horizontal="center" wrapText="1"/>
      <protection locked="0"/>
    </xf>
    <xf numFmtId="42" fontId="17" fillId="3" borderId="0" xfId="0" applyNumberFormat="1" applyFont="1" applyFill="1" applyBorder="1" applyAlignment="1">
      <alignment/>
    </xf>
    <xf numFmtId="42" fontId="17" fillId="3" borderId="0" xfId="0" applyNumberFormat="1" applyFont="1" applyFill="1" applyAlignment="1">
      <alignment/>
    </xf>
    <xf numFmtId="0" fontId="16" fillId="0" borderId="0" xfId="0" applyFont="1" applyAlignment="1">
      <alignment horizontal="right"/>
    </xf>
    <xf numFmtId="10" fontId="0" fillId="0" borderId="0" xfId="0" applyNumberFormat="1" applyAlignment="1">
      <alignment/>
    </xf>
    <xf numFmtId="0" fontId="10" fillId="0" borderId="0" xfId="0" applyFont="1" applyAlignment="1">
      <alignment wrapText="1"/>
    </xf>
    <xf numFmtId="168" fontId="11" fillId="0" borderId="0" xfId="0" applyNumberFormat="1" applyFont="1" applyAlignment="1">
      <alignment horizontal="left"/>
    </xf>
    <xf numFmtId="168" fontId="0" fillId="0" borderId="0" xfId="0" applyNumberFormat="1" applyAlignment="1">
      <alignment horizontal="left"/>
    </xf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68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168" fontId="2" fillId="0" borderId="0" xfId="0" applyNumberFormat="1" applyFont="1" applyAlignment="1">
      <alignment horizontal="left" wrapText="1"/>
    </xf>
    <xf numFmtId="168" fontId="0" fillId="0" borderId="0" xfId="0" applyNumberFormat="1" applyAlignment="1">
      <alignment horizontal="left" wrapText="1"/>
    </xf>
    <xf numFmtId="0" fontId="4" fillId="0" borderId="0" xfId="0" applyFont="1" applyAlignment="1">
      <alignment wrapText="1"/>
    </xf>
    <xf numFmtId="0" fontId="16" fillId="0" borderId="0" xfId="0" applyFont="1" applyAlignment="1">
      <alignment/>
    </xf>
    <xf numFmtId="0" fontId="4" fillId="0" borderId="0" xfId="19" applyFont="1" applyFill="1" applyBorder="1" applyAlignment="1" applyProtection="1">
      <alignment wrapText="1"/>
      <protection/>
    </xf>
    <xf numFmtId="0" fontId="10" fillId="0" borderId="0" xfId="19" applyFont="1" applyFill="1" applyBorder="1" applyAlignment="1" applyProtection="1">
      <alignment horizontal="left" wrapText="1"/>
      <protection/>
    </xf>
    <xf numFmtId="0" fontId="10" fillId="0" borderId="0" xfId="19" applyFont="1" applyFill="1" applyBorder="1" applyAlignment="1">
      <alignment horizontal="left" wrapText="1"/>
      <protection/>
    </xf>
    <xf numFmtId="168" fontId="4" fillId="0" borderId="0" xfId="19" applyNumberFormat="1" applyFont="1" applyFill="1" applyBorder="1" applyAlignment="1" applyProtection="1">
      <alignment horizontal="left" wrapText="1"/>
      <protection/>
    </xf>
    <xf numFmtId="0" fontId="10" fillId="0" borderId="0" xfId="0" applyFont="1" applyAlignment="1">
      <alignment horizontal="left" wrapText="1"/>
    </xf>
    <xf numFmtId="0" fontId="14" fillId="0" borderId="0" xfId="19" applyFont="1" applyFill="1" applyBorder="1" applyAlignment="1">
      <alignment horizontal="left" wrapText="1"/>
      <protection/>
    </xf>
    <xf numFmtId="0" fontId="0" fillId="0" borderId="0" xfId="0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200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42875" cy="66675"/>
    <xdr:sp>
      <xdr:nvSpPr>
        <xdr:cNvPr id="1" name="HideTemplatePointer"/>
        <xdr:cNvSpPr>
          <a:spLocks/>
        </xdr:cNvSpPr>
      </xdr:nvSpPr>
      <xdr:spPr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oneCellAnchor>
  <xdr:oneCellAnchor>
    <xdr:from>
      <xdr:col>0</xdr:col>
      <xdr:colOff>0</xdr:colOff>
      <xdr:row>0</xdr:row>
      <xdr:rowOff>0</xdr:rowOff>
    </xdr:from>
    <xdr:ext cx="142875" cy="66675"/>
    <xdr:sp>
      <xdr:nvSpPr>
        <xdr:cNvPr id="2" name="HideTemplatePointer"/>
        <xdr:cNvSpPr>
          <a:spLocks/>
        </xdr:cNvSpPr>
      </xdr:nvSpPr>
      <xdr:spPr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oneCellAnchor>
  <xdr:oneCellAnchor>
    <xdr:from>
      <xdr:col>0</xdr:col>
      <xdr:colOff>0</xdr:colOff>
      <xdr:row>0</xdr:row>
      <xdr:rowOff>0</xdr:rowOff>
    </xdr:from>
    <xdr:ext cx="142875" cy="66675"/>
    <xdr:sp>
      <xdr:nvSpPr>
        <xdr:cNvPr id="3" name="HideTemplatePointer"/>
        <xdr:cNvSpPr>
          <a:spLocks/>
        </xdr:cNvSpPr>
      </xdr:nvSpPr>
      <xdr:spPr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42875" cy="66675"/>
    <xdr:sp>
      <xdr:nvSpPr>
        <xdr:cNvPr id="1" name="HideTemplatePointer"/>
        <xdr:cNvSpPr>
          <a:spLocks/>
        </xdr:cNvSpPr>
      </xdr:nvSpPr>
      <xdr:spPr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5" sqref="A5"/>
    </sheetView>
  </sheetViews>
  <sheetFormatPr defaultColWidth="9.00390625" defaultRowHeight="15.75"/>
  <cols>
    <col min="1" max="1" width="2.625" style="101" customWidth="1"/>
    <col min="2" max="2" width="8.50390625" style="101" customWidth="1"/>
    <col min="3" max="3" width="8.25390625" style="101" customWidth="1"/>
    <col min="4" max="4" width="8.125" style="101" customWidth="1"/>
    <col min="5" max="5" width="8.00390625" style="101" customWidth="1"/>
    <col min="6" max="6" width="24.875" style="101" customWidth="1"/>
    <col min="7" max="7" width="5.00390625" style="101" customWidth="1"/>
    <col min="8" max="16384" width="9.00390625" style="101" customWidth="1"/>
  </cols>
  <sheetData>
    <row r="1" ht="18">
      <c r="A1" s="101" t="s">
        <v>67</v>
      </c>
    </row>
    <row r="2" ht="18">
      <c r="A2" s="101" t="s">
        <v>173</v>
      </c>
    </row>
    <row r="4" spans="1:4" ht="18">
      <c r="A4" s="168">
        <v>38776</v>
      </c>
      <c r="B4" s="169"/>
      <c r="C4" s="169"/>
      <c r="D4" s="170"/>
    </row>
    <row r="9" ht="18">
      <c r="A9" s="101" t="s">
        <v>68</v>
      </c>
    </row>
    <row r="11" ht="10.5" customHeight="1"/>
    <row r="12" spans="2:8" ht="18">
      <c r="B12" s="101" t="s">
        <v>69</v>
      </c>
      <c r="H12" s="101" t="s">
        <v>167</v>
      </c>
    </row>
    <row r="13" ht="19.5" customHeight="1"/>
    <row r="14" spans="2:8" ht="24" customHeight="1">
      <c r="B14" s="101" t="s">
        <v>70</v>
      </c>
      <c r="H14" s="101" t="s">
        <v>71</v>
      </c>
    </row>
    <row r="15" ht="19.5" customHeight="1"/>
    <row r="16" spans="2:8" ht="25.5" customHeight="1">
      <c r="B16" s="101" t="s">
        <v>72</v>
      </c>
      <c r="H16" s="101" t="s">
        <v>168</v>
      </c>
    </row>
    <row r="17" ht="19.5" customHeight="1"/>
    <row r="18" spans="2:8" ht="26.25" customHeight="1">
      <c r="B18" s="101" t="s">
        <v>73</v>
      </c>
      <c r="H18" s="101" t="s">
        <v>75</v>
      </c>
    </row>
    <row r="19" ht="19.5" customHeight="1"/>
    <row r="20" spans="2:8" ht="24" customHeight="1">
      <c r="B20" s="101" t="s">
        <v>74</v>
      </c>
      <c r="H20" s="101" t="s">
        <v>76</v>
      </c>
    </row>
    <row r="21" ht="19.5" customHeight="1"/>
    <row r="22" spans="2:8" ht="25.5" customHeight="1">
      <c r="B22" s="101" t="s">
        <v>166</v>
      </c>
      <c r="H22" s="101" t="s">
        <v>129</v>
      </c>
    </row>
    <row r="24" s="26" customFormat="1" ht="12.75">
      <c r="A24" s="102"/>
    </row>
    <row r="25" spans="1:8" s="26" customFormat="1" ht="12.75">
      <c r="A25" s="112"/>
      <c r="B25" s="112"/>
      <c r="C25" s="112"/>
      <c r="D25" s="112"/>
      <c r="E25" s="112"/>
      <c r="F25" s="112"/>
      <c r="G25" s="112"/>
      <c r="H25" s="112"/>
    </row>
    <row r="26" spans="1:8" s="26" customFormat="1" ht="12.75">
      <c r="A26" s="112"/>
      <c r="B26" s="112"/>
      <c r="C26" s="112"/>
      <c r="D26" s="112"/>
      <c r="E26" s="112"/>
      <c r="F26" s="112"/>
      <c r="G26" s="112"/>
      <c r="H26" s="112"/>
    </row>
    <row r="27" spans="1:8" s="26" customFormat="1" ht="12.75">
      <c r="A27" s="112"/>
      <c r="B27" s="112"/>
      <c r="C27" s="112"/>
      <c r="D27" s="112"/>
      <c r="E27" s="112"/>
      <c r="F27" s="112"/>
      <c r="G27" s="112"/>
      <c r="H27" s="112"/>
    </row>
  </sheetData>
  <mergeCells count="1">
    <mergeCell ref="A4:D4"/>
  </mergeCells>
  <printOptions/>
  <pageMargins left="0.75" right="0.75" top="0.5" bottom="0.5" header="0.5" footer="0.5"/>
  <pageSetup horizontalDpi="600" verticalDpi="600" orientation="portrait" r:id="rId1"/>
  <headerFooter alignWithMargins="0">
    <oddFooter>&amp;L&amp;"Tahoma,Regular"&amp;8Prepared by VDEM&amp;C&amp;"Tahoma,Italic"&amp;8
Confidential
Governor's Working Papers&amp;R&amp;"Tahoma,Regular"&amp;8Report Date &amp;D
as of February 28, 2006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35"/>
  <sheetViews>
    <sheetView workbookViewId="0" topLeftCell="A13">
      <selection activeCell="L8" sqref="L8"/>
    </sheetView>
  </sheetViews>
  <sheetFormatPr defaultColWidth="9.00390625" defaultRowHeight="15.75"/>
  <cols>
    <col min="1" max="1" width="0.875" style="54" customWidth="1"/>
    <col min="2" max="2" width="17.00390625" style="81" customWidth="1"/>
    <col min="3" max="3" width="0.875" style="81" customWidth="1"/>
    <col min="4" max="4" width="13.25390625" style="82" customWidth="1"/>
    <col min="5" max="5" width="0.875" style="82" customWidth="1"/>
    <col min="6" max="6" width="13.375" style="82" customWidth="1"/>
    <col min="7" max="7" width="0.875" style="82" customWidth="1"/>
    <col min="8" max="8" width="12.50390625" style="82" customWidth="1"/>
    <col min="9" max="9" width="0.875" style="54" customWidth="1"/>
    <col min="10" max="10" width="12.50390625" style="54" customWidth="1"/>
    <col min="11" max="11" width="0.875" style="54" customWidth="1"/>
    <col min="12" max="12" width="12.50390625" style="54" customWidth="1"/>
    <col min="13" max="16384" width="9.00390625" style="54" customWidth="1"/>
  </cols>
  <sheetData>
    <row r="1" spans="2:12" ht="23.25" customHeight="1">
      <c r="B1" s="171" t="s">
        <v>45</v>
      </c>
      <c r="C1" s="171"/>
      <c r="D1" s="172"/>
      <c r="E1" s="172"/>
      <c r="F1" s="172"/>
      <c r="G1" s="172"/>
      <c r="H1" s="172"/>
      <c r="I1" s="55"/>
      <c r="J1" s="55"/>
      <c r="K1" s="55"/>
      <c r="L1" s="55"/>
    </row>
    <row r="2" spans="2:12" ht="16.5" customHeight="1">
      <c r="B2" s="109" t="s">
        <v>126</v>
      </c>
      <c r="C2" s="109"/>
      <c r="D2" s="110"/>
      <c r="E2" s="110"/>
      <c r="F2" s="110"/>
      <c r="G2" s="110"/>
      <c r="H2" s="110"/>
      <c r="I2" s="55"/>
      <c r="J2" s="55"/>
      <c r="K2" s="55"/>
      <c r="L2" s="55"/>
    </row>
    <row r="3" spans="2:12" ht="20.25" customHeight="1">
      <c r="B3" s="56" t="s">
        <v>46</v>
      </c>
      <c r="C3" s="56"/>
      <c r="D3" s="176">
        <v>38776</v>
      </c>
      <c r="E3" s="169"/>
      <c r="F3" s="169"/>
      <c r="G3" s="57"/>
      <c r="H3" s="55"/>
      <c r="I3" s="55"/>
      <c r="J3" s="55"/>
      <c r="K3" s="55"/>
      <c r="L3" s="55"/>
    </row>
    <row r="4" spans="2:12" ht="24" customHeight="1">
      <c r="B4" s="58"/>
      <c r="C4" s="58"/>
      <c r="D4" s="59"/>
      <c r="E4" s="59"/>
      <c r="F4" s="60"/>
      <c r="G4" s="60"/>
      <c r="H4" s="61"/>
      <c r="I4" s="61"/>
      <c r="J4" s="61"/>
      <c r="K4" s="61"/>
      <c r="L4" s="61"/>
    </row>
    <row r="5" spans="2:12" ht="56.25" customHeight="1">
      <c r="B5" s="62" t="s">
        <v>47</v>
      </c>
      <c r="C5" s="62"/>
      <c r="D5" s="62" t="s">
        <v>48</v>
      </c>
      <c r="E5" s="62"/>
      <c r="F5" s="62" t="s">
        <v>0</v>
      </c>
      <c r="G5" s="62"/>
      <c r="H5" s="62" t="s">
        <v>17</v>
      </c>
      <c r="I5" s="63"/>
      <c r="J5" s="62" t="s">
        <v>23</v>
      </c>
      <c r="K5" s="62"/>
      <c r="L5" s="62" t="s">
        <v>49</v>
      </c>
    </row>
    <row r="6" spans="2:12" ht="43.5" customHeight="1">
      <c r="B6" s="64" t="s">
        <v>1</v>
      </c>
      <c r="C6" s="64"/>
      <c r="D6" s="65">
        <v>7139200</v>
      </c>
      <c r="E6" s="65"/>
      <c r="F6" s="65">
        <v>7139202</v>
      </c>
      <c r="G6" s="65"/>
      <c r="H6" s="66">
        <f>D6-F6</f>
        <v>-2</v>
      </c>
      <c r="L6" s="67">
        <f>H6-J6</f>
        <v>-2</v>
      </c>
    </row>
    <row r="7" spans="2:12" ht="43.5" customHeight="1">
      <c r="B7" s="64" t="s">
        <v>50</v>
      </c>
      <c r="C7" s="64"/>
      <c r="D7" s="68">
        <v>1784800</v>
      </c>
      <c r="E7" s="68"/>
      <c r="F7" s="68">
        <f>1784800-(4275.68+2445)</f>
        <v>1778079.32</v>
      </c>
      <c r="G7" s="68"/>
      <c r="H7" s="69">
        <v>4275.68</v>
      </c>
      <c r="I7" s="69"/>
      <c r="J7" s="69"/>
      <c r="K7" s="69"/>
      <c r="L7" s="69">
        <f>H7-J7</f>
        <v>4275.68</v>
      </c>
    </row>
    <row r="8" spans="2:12" ht="43.5" customHeight="1">
      <c r="B8" s="64" t="s">
        <v>51</v>
      </c>
      <c r="C8" s="64"/>
      <c r="D8" s="68">
        <v>2231000</v>
      </c>
      <c r="E8" s="68"/>
      <c r="F8" s="68">
        <f>1502240.1+158842.52</f>
        <v>1661082.62</v>
      </c>
      <c r="G8" s="68"/>
      <c r="H8" s="69">
        <f>D8-F8</f>
        <v>569917.3799999999</v>
      </c>
      <c r="I8" s="69"/>
      <c r="J8" s="69">
        <f>H8</f>
        <v>569917.3799999999</v>
      </c>
      <c r="K8" s="69"/>
      <c r="L8" s="69">
        <f>H8-J8</f>
        <v>0</v>
      </c>
    </row>
    <row r="9" spans="2:12" ht="43.5" customHeight="1" thickBot="1">
      <c r="B9" s="64" t="s">
        <v>52</v>
      </c>
      <c r="C9" s="64"/>
      <c r="D9" s="83">
        <v>669000</v>
      </c>
      <c r="E9" s="68"/>
      <c r="F9" s="83">
        <f>835296.37-166296</f>
        <v>669000.37</v>
      </c>
      <c r="G9" s="68"/>
      <c r="H9" s="84">
        <f>D9-F9</f>
        <v>-0.3699999999953434</v>
      </c>
      <c r="I9" s="69"/>
      <c r="J9" s="84"/>
      <c r="K9" s="69"/>
      <c r="L9" s="84">
        <f>H9-J9</f>
        <v>-0.3699999999953434</v>
      </c>
    </row>
    <row r="10" spans="2:12" ht="21" customHeight="1" thickTop="1">
      <c r="B10" s="70" t="s">
        <v>127</v>
      </c>
      <c r="C10" s="70"/>
      <c r="D10" s="71">
        <f>SUM(D6:D9)</f>
        <v>11824000</v>
      </c>
      <c r="E10" s="71"/>
      <c r="F10" s="71">
        <f>SUM(F6:F9)</f>
        <v>11247364.31</v>
      </c>
      <c r="G10" s="71"/>
      <c r="H10" s="71">
        <f>SUM(H6:H9)</f>
        <v>574190.69</v>
      </c>
      <c r="I10" s="72"/>
      <c r="J10" s="71">
        <f>SUM(J6:J9)</f>
        <v>569917.3799999999</v>
      </c>
      <c r="K10" s="71"/>
      <c r="L10" s="71">
        <f>H10-J10</f>
        <v>4273.310000000056</v>
      </c>
    </row>
    <row r="11" spans="2:12" ht="3" customHeight="1">
      <c r="B11" s="85"/>
      <c r="C11" s="85"/>
      <c r="D11" s="86"/>
      <c r="E11" s="86"/>
      <c r="F11" s="86"/>
      <c r="G11" s="86"/>
      <c r="H11" s="86"/>
      <c r="I11" s="87"/>
      <c r="J11" s="86"/>
      <c r="K11" s="86"/>
      <c r="L11" s="86"/>
    </row>
    <row r="12" spans="2:12" ht="43.5" customHeight="1">
      <c r="B12" s="62" t="s">
        <v>53</v>
      </c>
      <c r="C12" s="73"/>
      <c r="D12" s="140" t="s">
        <v>54</v>
      </c>
      <c r="E12" s="74"/>
      <c r="F12" s="140" t="s">
        <v>0</v>
      </c>
      <c r="G12" s="74"/>
      <c r="H12" s="62" t="s">
        <v>17</v>
      </c>
      <c r="I12" s="75"/>
      <c r="J12" s="62" t="s">
        <v>23</v>
      </c>
      <c r="K12" s="62"/>
      <c r="L12" s="62" t="s">
        <v>49</v>
      </c>
    </row>
    <row r="13" spans="2:12" ht="43.5" customHeight="1">
      <c r="B13" s="64" t="s">
        <v>55</v>
      </c>
      <c r="C13" s="64"/>
      <c r="D13" s="65">
        <v>800000</v>
      </c>
      <c r="E13" s="65"/>
      <c r="F13" s="65">
        <f>520147.63-175139-3</f>
        <v>345005.63</v>
      </c>
      <c r="G13" s="65"/>
      <c r="H13" s="66">
        <f>D13-F13</f>
        <v>454994.37</v>
      </c>
      <c r="L13" s="67">
        <f>H13-J13</f>
        <v>454994.37</v>
      </c>
    </row>
    <row r="14" spans="2:12" ht="43.5" customHeight="1">
      <c r="B14" s="64" t="s">
        <v>56</v>
      </c>
      <c r="C14" s="64"/>
      <c r="D14" s="76">
        <f>50000+42000</f>
        <v>92000</v>
      </c>
      <c r="E14" s="76"/>
      <c r="F14" s="76">
        <v>127688.92</v>
      </c>
      <c r="G14" s="76"/>
      <c r="H14" s="77">
        <f>D14-F14</f>
        <v>-35688.92</v>
      </c>
      <c r="L14" s="78">
        <f>H14-J14</f>
        <v>-35688.92</v>
      </c>
    </row>
    <row r="15" spans="2:12" ht="43.5" customHeight="1" thickBot="1">
      <c r="B15" s="64" t="s">
        <v>57</v>
      </c>
      <c r="C15" s="64"/>
      <c r="D15" s="88"/>
      <c r="E15" s="76"/>
      <c r="F15" s="88">
        <f>476000-56700</f>
        <v>419300</v>
      </c>
      <c r="G15" s="76"/>
      <c r="H15" s="89">
        <f>D15-F15</f>
        <v>-419300</v>
      </c>
      <c r="J15" s="90"/>
      <c r="L15" s="91">
        <f>H15-J15</f>
        <v>-419300</v>
      </c>
    </row>
    <row r="16" spans="2:12" ht="43.5" customHeight="1" thickTop="1">
      <c r="B16" s="79" t="s">
        <v>58</v>
      </c>
      <c r="C16" s="79"/>
      <c r="D16" s="65">
        <f>SUM(D13:D15)</f>
        <v>892000</v>
      </c>
      <c r="E16" s="65"/>
      <c r="F16" s="65">
        <f>SUM(F13:F15)</f>
        <v>891994.55</v>
      </c>
      <c r="G16" s="65"/>
      <c r="H16" s="65">
        <f>SUM(H13:H15)</f>
        <v>5.4500000000116415</v>
      </c>
      <c r="I16" s="67"/>
      <c r="J16" s="67"/>
      <c r="K16" s="67"/>
      <c r="L16" s="67">
        <f>H16-J16</f>
        <v>5.4500000000116415</v>
      </c>
    </row>
    <row r="17" spans="2:12" ht="3" customHeight="1">
      <c r="B17" s="92"/>
      <c r="C17" s="92"/>
      <c r="D17" s="93"/>
      <c r="E17" s="93"/>
      <c r="F17" s="93"/>
      <c r="G17" s="93"/>
      <c r="H17" s="93"/>
      <c r="I17" s="94"/>
      <c r="J17" s="94"/>
      <c r="K17" s="94"/>
      <c r="L17" s="94"/>
    </row>
    <row r="18" spans="2:12" ht="12.75">
      <c r="B18" s="70" t="s">
        <v>59</v>
      </c>
      <c r="C18" s="70"/>
      <c r="D18" s="80">
        <f>D16+D10</f>
        <v>12716000</v>
      </c>
      <c r="E18" s="80"/>
      <c r="F18" s="80">
        <f>F16+F10</f>
        <v>12139358.860000001</v>
      </c>
      <c r="G18" s="80"/>
      <c r="H18" s="80">
        <f>H16+H10</f>
        <v>574196.1399999999</v>
      </c>
      <c r="I18" s="72"/>
      <c r="J18" s="80">
        <f>J16+J10</f>
        <v>569917.3799999999</v>
      </c>
      <c r="K18" s="80"/>
      <c r="L18" s="80">
        <f>L16+L10</f>
        <v>4278.7600000000675</v>
      </c>
    </row>
    <row r="20" ht="15.75" customHeight="1"/>
    <row r="21" ht="15.75" customHeight="1">
      <c r="B21" s="81" t="s">
        <v>2</v>
      </c>
    </row>
    <row r="22" spans="2:12" ht="15.75" customHeight="1">
      <c r="B22" s="173" t="s">
        <v>28</v>
      </c>
      <c r="C22" s="173"/>
      <c r="D22" s="174"/>
      <c r="E22" s="174"/>
      <c r="F22" s="174"/>
      <c r="G22" s="174"/>
      <c r="H22" s="174"/>
      <c r="I22" s="174"/>
      <c r="J22" s="174"/>
      <c r="K22" s="174"/>
      <c r="L22" s="174"/>
    </row>
    <row r="23" spans="2:12" ht="15.75" customHeight="1">
      <c r="B23" s="173" t="s">
        <v>130</v>
      </c>
      <c r="C23" s="173"/>
      <c r="D23" s="175"/>
      <c r="E23" s="175"/>
      <c r="F23" s="175"/>
      <c r="G23" s="175"/>
      <c r="H23" s="175"/>
      <c r="I23" s="175"/>
      <c r="J23" s="175"/>
      <c r="K23" s="175"/>
      <c r="L23" s="175"/>
    </row>
    <row r="30" spans="2:4" ht="15.75">
      <c r="B30" s="157" t="s">
        <v>174</v>
      </c>
      <c r="C30"/>
      <c r="D30"/>
    </row>
    <row r="31" spans="2:4" ht="15.75">
      <c r="B31" s="158" t="s">
        <v>175</v>
      </c>
      <c r="C31"/>
      <c r="D31"/>
    </row>
    <row r="32" spans="2:4" ht="12.75">
      <c r="B32" s="157"/>
      <c r="C32" s="157"/>
      <c r="D32" s="157"/>
    </row>
    <row r="33" spans="2:4" ht="12.75">
      <c r="B33" s="165" t="s">
        <v>180</v>
      </c>
      <c r="C33" s="157"/>
      <c r="D33" s="157">
        <v>4275.68</v>
      </c>
    </row>
    <row r="34" spans="2:4" ht="12.75">
      <c r="B34" s="165"/>
      <c r="C34" s="157"/>
      <c r="D34" s="157"/>
    </row>
    <row r="35" spans="2:4" ht="12.75">
      <c r="B35" s="165"/>
      <c r="C35" s="157"/>
      <c r="D35" s="157"/>
    </row>
  </sheetData>
  <mergeCells count="4">
    <mergeCell ref="B1:H1"/>
    <mergeCell ref="B22:L22"/>
    <mergeCell ref="B23:L23"/>
    <mergeCell ref="D3:F3"/>
  </mergeCells>
  <printOptions horizontalCentered="1"/>
  <pageMargins left="0.75" right="0.75" top="0.75" bottom="0.5" header="0.5" footer="0.5"/>
  <pageSetup horizontalDpi="600" verticalDpi="600" orientation="portrait" scale="90" r:id="rId4"/>
  <headerFooter alignWithMargins="0">
    <oddFooter>&amp;L&amp;"Tahoma,Regular"&amp;8Prepared by VDEM&amp;C&amp;"Tahoma,Regular"&amp;8&amp;P
&amp;"Tahoma,Italic"Confidential
Governor's Working Papers&amp;R&amp;"Tahoma,Regular"&amp;8Report Date &amp;D
as of February 28, 2006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A8" sqref="A8"/>
    </sheetView>
  </sheetViews>
  <sheetFormatPr defaultColWidth="9.00390625" defaultRowHeight="15.75"/>
  <cols>
    <col min="1" max="1" width="22.125" style="0" customWidth="1"/>
    <col min="2" max="2" width="23.625" style="0" customWidth="1"/>
    <col min="3" max="3" width="12.50390625" style="0" customWidth="1"/>
  </cols>
  <sheetData>
    <row r="1" ht="15.75">
      <c r="A1" s="51" t="s">
        <v>28</v>
      </c>
    </row>
    <row r="2" ht="15.75">
      <c r="A2" s="103" t="s">
        <v>148</v>
      </c>
    </row>
    <row r="4" spans="1:3" ht="15.75">
      <c r="A4" s="52" t="s">
        <v>29</v>
      </c>
      <c r="B4" s="52" t="s">
        <v>30</v>
      </c>
      <c r="C4" s="52" t="s">
        <v>31</v>
      </c>
    </row>
    <row r="5" spans="1:3" ht="15.75">
      <c r="A5" s="26" t="s">
        <v>32</v>
      </c>
      <c r="B5" s="26" t="s">
        <v>33</v>
      </c>
      <c r="C5" s="53">
        <v>1</v>
      </c>
    </row>
    <row r="6" spans="1:3" ht="15.75">
      <c r="A6" s="26" t="s">
        <v>34</v>
      </c>
      <c r="B6" s="26" t="s">
        <v>35</v>
      </c>
      <c r="C6" s="53">
        <v>1</v>
      </c>
    </row>
    <row r="7" spans="1:3" ht="15.75">
      <c r="A7" s="26" t="s">
        <v>36</v>
      </c>
      <c r="B7" s="26" t="s">
        <v>37</v>
      </c>
      <c r="C7" s="53">
        <v>1</v>
      </c>
    </row>
    <row r="8" spans="1:3" ht="15.75">
      <c r="A8" s="26" t="s">
        <v>151</v>
      </c>
      <c r="B8" s="26" t="s">
        <v>37</v>
      </c>
      <c r="C8" s="53">
        <v>1</v>
      </c>
    </row>
    <row r="9" spans="1:3" ht="15.75">
      <c r="A9" s="26" t="s">
        <v>38</v>
      </c>
      <c r="B9" s="26" t="s">
        <v>39</v>
      </c>
      <c r="C9" s="53">
        <v>1</v>
      </c>
    </row>
    <row r="10" spans="1:3" ht="15.75">
      <c r="A10" s="26" t="s">
        <v>40</v>
      </c>
      <c r="B10" s="26" t="s">
        <v>37</v>
      </c>
      <c r="C10" s="53">
        <v>1</v>
      </c>
    </row>
    <row r="11" spans="1:3" ht="15.75">
      <c r="A11" s="26" t="s">
        <v>41</v>
      </c>
      <c r="B11" s="26" t="s">
        <v>42</v>
      </c>
      <c r="C11" s="53">
        <v>1</v>
      </c>
    </row>
    <row r="12" spans="1:3" ht="15.75">
      <c r="A12" s="26" t="s">
        <v>41</v>
      </c>
      <c r="B12" s="26" t="s">
        <v>43</v>
      </c>
      <c r="C12" s="53">
        <v>1</v>
      </c>
    </row>
    <row r="13" spans="1:3" ht="15.75">
      <c r="A13" s="26" t="s">
        <v>41</v>
      </c>
      <c r="B13" s="26" t="s">
        <v>35</v>
      </c>
      <c r="C13" s="53">
        <v>1</v>
      </c>
    </row>
    <row r="14" spans="1:3" ht="15.75">
      <c r="A14" s="26" t="s">
        <v>41</v>
      </c>
      <c r="B14" s="26" t="s">
        <v>35</v>
      </c>
      <c r="C14" s="53">
        <v>1</v>
      </c>
    </row>
    <row r="15" spans="1:3" ht="15.75">
      <c r="A15" s="26" t="s">
        <v>41</v>
      </c>
      <c r="B15" s="26" t="s">
        <v>35</v>
      </c>
      <c r="C15" s="53">
        <v>1</v>
      </c>
    </row>
    <row r="16" spans="1:3" ht="15.75">
      <c r="A16" s="26" t="s">
        <v>41</v>
      </c>
      <c r="B16" s="26" t="s">
        <v>44</v>
      </c>
      <c r="C16" s="53">
        <v>1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&amp;L&amp;"Tahoma,Regular"&amp;8Prepared by VDEM&amp;C&amp;"Tahoma,Regular"&amp;8&amp;P
&amp;"Tahoma,Italic"Confidential
Governor's Working Papers&amp;R&amp;"Tahoma,Regular"&amp;8Report Date &amp;D
as of February 28, 2006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6">
      <selection activeCell="D6" sqref="D6"/>
    </sheetView>
  </sheetViews>
  <sheetFormatPr defaultColWidth="9.00390625" defaultRowHeight="15.75"/>
  <cols>
    <col min="1" max="1" width="0.875" style="0" customWidth="1"/>
    <col min="2" max="2" width="13.75390625" style="0" customWidth="1"/>
    <col min="3" max="3" width="0.875" style="0" customWidth="1"/>
    <col min="4" max="4" width="12.50390625" style="0" customWidth="1"/>
    <col min="5" max="5" width="0.875" style="0" customWidth="1"/>
    <col min="6" max="6" width="12.50390625" style="0" customWidth="1"/>
    <col min="7" max="7" width="0.875" style="0" customWidth="1"/>
    <col min="8" max="8" width="12.50390625" style="0" customWidth="1"/>
    <col min="9" max="9" width="0.875" style="0" customWidth="1"/>
    <col min="10" max="10" width="12.50390625" style="0" customWidth="1"/>
    <col min="11" max="11" width="0.875" style="0" customWidth="1"/>
    <col min="12" max="12" width="12.50390625" style="0" customWidth="1"/>
    <col min="13" max="13" width="0.875" style="0" customWidth="1"/>
    <col min="14" max="14" width="12.50390625" style="0" customWidth="1"/>
  </cols>
  <sheetData>
    <row r="1" spans="1:14" ht="15.75">
      <c r="A1" s="27"/>
      <c r="B1" s="177" t="s">
        <v>22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9" customHeight="1">
      <c r="A2" s="27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.75">
      <c r="A3" s="27"/>
      <c r="B3" s="177" t="s">
        <v>145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</row>
    <row r="4" spans="1:14" ht="9" customHeight="1">
      <c r="A4" s="27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15.75">
      <c r="A5" s="27"/>
      <c r="B5" s="29" t="s">
        <v>15</v>
      </c>
      <c r="C5" s="29"/>
      <c r="D5" s="179">
        <v>38776</v>
      </c>
      <c r="E5" s="180"/>
      <c r="F5" s="180"/>
      <c r="G5" s="31"/>
      <c r="H5" s="31"/>
      <c r="I5" s="31"/>
      <c r="J5" s="31"/>
      <c r="K5" s="31"/>
      <c r="L5" s="31"/>
      <c r="M5" s="31"/>
      <c r="N5" s="31"/>
    </row>
    <row r="6" spans="1:14" ht="15.75">
      <c r="A6" s="27"/>
      <c r="B6" s="29"/>
      <c r="C6" s="29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</row>
    <row r="7" spans="1:14" ht="15.75">
      <c r="A7" s="27"/>
      <c r="B7" s="29"/>
      <c r="C7" s="29"/>
      <c r="D7" s="32"/>
      <c r="E7" s="32"/>
      <c r="F7" s="31"/>
      <c r="G7" s="31"/>
      <c r="H7" s="31"/>
      <c r="I7" s="31"/>
      <c r="J7" s="31"/>
      <c r="K7" s="31"/>
      <c r="L7" s="31"/>
      <c r="M7" s="31"/>
      <c r="N7" s="31"/>
    </row>
    <row r="8" spans="1:14" ht="43.5" customHeight="1">
      <c r="A8" s="27"/>
      <c r="B8" s="33" t="s">
        <v>14</v>
      </c>
      <c r="C8" s="33"/>
      <c r="D8" s="34" t="s">
        <v>11</v>
      </c>
      <c r="E8" s="34"/>
      <c r="F8" s="33" t="s">
        <v>3</v>
      </c>
      <c r="G8" s="33"/>
      <c r="H8" s="33" t="s">
        <v>0</v>
      </c>
      <c r="I8" s="33"/>
      <c r="J8" s="34" t="s">
        <v>17</v>
      </c>
      <c r="K8" s="34"/>
      <c r="L8" s="33" t="s">
        <v>23</v>
      </c>
      <c r="M8" s="33"/>
      <c r="N8" s="34" t="s">
        <v>49</v>
      </c>
    </row>
    <row r="9" spans="1:14" ht="50.25" customHeight="1">
      <c r="A9" s="27"/>
      <c r="B9" s="28" t="s">
        <v>1</v>
      </c>
      <c r="C9" s="28"/>
      <c r="D9" s="35"/>
      <c r="E9" s="35"/>
      <c r="F9" s="36">
        <v>21353600</v>
      </c>
      <c r="G9" s="36"/>
      <c r="H9" s="36">
        <f>21295671+8875</f>
        <v>21304546</v>
      </c>
      <c r="I9" s="36"/>
      <c r="J9" s="35">
        <f>F9-H9</f>
        <v>49054</v>
      </c>
      <c r="K9" s="35"/>
      <c r="L9" s="36"/>
      <c r="M9" s="36"/>
      <c r="N9" s="35"/>
    </row>
    <row r="10" spans="1:14" ht="48" customHeight="1" thickBot="1">
      <c r="A10" s="27"/>
      <c r="B10" s="28" t="s">
        <v>19</v>
      </c>
      <c r="C10" s="28"/>
      <c r="D10" s="37"/>
      <c r="E10" s="104"/>
      <c r="F10" s="38">
        <v>2000000</v>
      </c>
      <c r="G10" s="39"/>
      <c r="H10" s="38">
        <v>2045118</v>
      </c>
      <c r="I10" s="105"/>
      <c r="J10" s="37">
        <f>F10-H10</f>
        <v>-45118</v>
      </c>
      <c r="K10" s="104"/>
      <c r="L10" s="38"/>
      <c r="M10" s="105"/>
      <c r="N10" s="37"/>
    </row>
    <row r="11" spans="1:14" ht="43.5" customHeight="1" thickTop="1">
      <c r="A11" s="40"/>
      <c r="B11" s="41" t="s">
        <v>12</v>
      </c>
      <c r="C11" s="41"/>
      <c r="D11" s="42">
        <v>23353600</v>
      </c>
      <c r="E11" s="42"/>
      <c r="F11" s="43">
        <f>SUM(F9:F10)</f>
        <v>23353600</v>
      </c>
      <c r="G11" s="43"/>
      <c r="H11" s="43">
        <f>SUM(H9:H10)</f>
        <v>23349664</v>
      </c>
      <c r="I11" s="43"/>
      <c r="J11" s="43">
        <f>SUM(J9:J10)</f>
        <v>3936</v>
      </c>
      <c r="K11" s="43"/>
      <c r="L11" s="43">
        <v>3936</v>
      </c>
      <c r="M11" s="43"/>
      <c r="N11" s="43">
        <f>J11-L11</f>
        <v>0</v>
      </c>
    </row>
    <row r="12" spans="1:14" ht="3" customHeight="1">
      <c r="A12" s="40"/>
      <c r="B12" s="44"/>
      <c r="C12" s="44"/>
      <c r="D12" s="45"/>
      <c r="E12" s="45"/>
      <c r="F12" s="46"/>
      <c r="G12" s="46"/>
      <c r="H12" s="46"/>
      <c r="I12" s="46"/>
      <c r="J12" s="46"/>
      <c r="K12" s="46"/>
      <c r="L12" s="46"/>
      <c r="M12" s="46"/>
      <c r="N12" s="46"/>
    </row>
    <row r="13" spans="1:14" ht="48.75" customHeight="1">
      <c r="A13" s="27"/>
      <c r="B13" s="28" t="s">
        <v>20</v>
      </c>
      <c r="C13" s="28"/>
      <c r="D13" s="35"/>
      <c r="E13" s="35"/>
      <c r="F13" s="39">
        <v>3838400</v>
      </c>
      <c r="G13" s="39"/>
      <c r="H13" s="39">
        <f>3690341.5+7059.23</f>
        <v>3697400.73</v>
      </c>
      <c r="I13" s="39"/>
      <c r="J13" s="35">
        <f>F13-H13</f>
        <v>140999.27000000002</v>
      </c>
      <c r="K13" s="35"/>
      <c r="L13" s="39">
        <f>J13</f>
        <v>140999.27000000002</v>
      </c>
      <c r="M13" s="39"/>
      <c r="N13" s="35">
        <f>J13-L13</f>
        <v>0</v>
      </c>
    </row>
    <row r="14" spans="1:14" ht="54" customHeight="1">
      <c r="A14" s="27"/>
      <c r="B14" s="28" t="s">
        <v>24</v>
      </c>
      <c r="C14" s="28"/>
      <c r="D14" s="35"/>
      <c r="E14" s="35"/>
      <c r="F14" s="39">
        <v>300000</v>
      </c>
      <c r="G14" s="39"/>
      <c r="H14" s="39">
        <v>300000</v>
      </c>
      <c r="I14" s="39"/>
      <c r="J14" s="35">
        <f>F14-H14</f>
        <v>0</v>
      </c>
      <c r="K14" s="35"/>
      <c r="L14" s="39"/>
      <c r="M14" s="39"/>
      <c r="N14" s="35">
        <f>J14-L14</f>
        <v>0</v>
      </c>
    </row>
    <row r="15" spans="1:14" ht="54.75" customHeight="1" thickBot="1">
      <c r="A15" s="27"/>
      <c r="B15" s="28" t="s">
        <v>77</v>
      </c>
      <c r="C15" s="28"/>
      <c r="D15" s="37"/>
      <c r="E15" s="104"/>
      <c r="F15" s="38">
        <v>1700000</v>
      </c>
      <c r="G15" s="39"/>
      <c r="H15" s="38">
        <v>1700000</v>
      </c>
      <c r="I15" s="105"/>
      <c r="J15" s="37">
        <f>F15-H15</f>
        <v>0</v>
      </c>
      <c r="K15" s="104"/>
      <c r="L15" s="38"/>
      <c r="M15" s="105"/>
      <c r="N15" s="37">
        <f>J15-L15</f>
        <v>0</v>
      </c>
    </row>
    <row r="16" spans="1:14" ht="54" customHeight="1" thickTop="1">
      <c r="A16" s="40"/>
      <c r="B16" s="41" t="s">
        <v>13</v>
      </c>
      <c r="C16" s="41"/>
      <c r="D16" s="42">
        <v>5838400</v>
      </c>
      <c r="E16" s="42"/>
      <c r="F16" s="43">
        <f>SUM(F13:F15)</f>
        <v>5838400</v>
      </c>
      <c r="G16" s="43"/>
      <c r="H16" s="43">
        <f>SUM(H13:H15)</f>
        <v>5697400.73</v>
      </c>
      <c r="I16" s="43"/>
      <c r="J16" s="42">
        <f>F16-H16</f>
        <v>140999.26999999955</v>
      </c>
      <c r="K16" s="42"/>
      <c r="L16" s="43">
        <f>SUM(L13:L15)</f>
        <v>140999.27000000002</v>
      </c>
      <c r="M16" s="43"/>
      <c r="N16" s="42">
        <f>J16-L16</f>
        <v>-4.656612873077393E-10</v>
      </c>
    </row>
    <row r="17" spans="1:14" ht="3" customHeight="1">
      <c r="A17" s="40"/>
      <c r="B17" s="44"/>
      <c r="C17" s="44"/>
      <c r="D17" s="45"/>
      <c r="E17" s="45"/>
      <c r="F17" s="46"/>
      <c r="G17" s="46"/>
      <c r="H17" s="46"/>
      <c r="I17" s="46"/>
      <c r="J17" s="46"/>
      <c r="K17" s="46"/>
      <c r="L17" s="46"/>
      <c r="M17" s="46"/>
      <c r="N17" s="46"/>
    </row>
    <row r="18" spans="1:14" ht="62.25" customHeight="1">
      <c r="A18" s="27"/>
      <c r="B18" s="33" t="s">
        <v>131</v>
      </c>
      <c r="C18" s="33"/>
      <c r="D18" s="34" t="s">
        <v>11</v>
      </c>
      <c r="E18" s="34"/>
      <c r="F18" s="33" t="s">
        <v>3</v>
      </c>
      <c r="G18" s="33"/>
      <c r="H18" s="33" t="s">
        <v>0</v>
      </c>
      <c r="I18" s="33"/>
      <c r="J18" s="34" t="s">
        <v>17</v>
      </c>
      <c r="K18" s="34"/>
      <c r="L18" s="33" t="s">
        <v>23</v>
      </c>
      <c r="M18" s="33"/>
      <c r="N18" s="34" t="s">
        <v>49</v>
      </c>
    </row>
    <row r="19" spans="1:14" ht="43.5" customHeight="1">
      <c r="A19" s="27"/>
      <c r="B19" s="28" t="s">
        <v>25</v>
      </c>
      <c r="C19" s="28"/>
      <c r="D19" s="35">
        <v>2245500</v>
      </c>
      <c r="E19" s="35"/>
      <c r="F19" s="35">
        <v>2245500</v>
      </c>
      <c r="G19" s="47"/>
      <c r="H19" s="47">
        <f>607382.68+500000</f>
        <v>1107382.6800000002</v>
      </c>
      <c r="I19" s="47"/>
      <c r="J19" s="35">
        <f>F19-H19</f>
        <v>1138117.3199999998</v>
      </c>
      <c r="K19" s="35"/>
      <c r="L19" s="47">
        <v>0</v>
      </c>
      <c r="M19" s="47"/>
      <c r="N19" s="35">
        <f>J19-L19</f>
        <v>1138117.3199999998</v>
      </c>
    </row>
    <row r="20" spans="1:14" ht="43.5" customHeight="1" thickBot="1">
      <c r="A20" s="27"/>
      <c r="B20" s="28" t="s">
        <v>26</v>
      </c>
      <c r="C20" s="28"/>
      <c r="D20" s="37">
        <v>2245500</v>
      </c>
      <c r="E20" s="104"/>
      <c r="F20" s="37">
        <v>2245500</v>
      </c>
      <c r="G20" s="47"/>
      <c r="H20" s="48">
        <f>1964760.76+70000+60024.16+52148.25+36392.35+57000.59</f>
        <v>2240326.11</v>
      </c>
      <c r="I20" s="106"/>
      <c r="J20" s="37">
        <f>F20-H20</f>
        <v>5173.89000000013</v>
      </c>
      <c r="K20" s="104"/>
      <c r="L20" s="48">
        <f>J20</f>
        <v>5173.89000000013</v>
      </c>
      <c r="M20" s="106"/>
      <c r="N20" s="37">
        <f>J20-L20</f>
        <v>0</v>
      </c>
    </row>
    <row r="21" spans="1:14" ht="43.5" customHeight="1" thickTop="1">
      <c r="A21" s="49"/>
      <c r="B21" s="50" t="s">
        <v>27</v>
      </c>
      <c r="C21" s="50"/>
      <c r="D21" s="42">
        <f>SUM(D19:D20)</f>
        <v>4491000</v>
      </c>
      <c r="E21" s="42"/>
      <c r="F21" s="43">
        <f>SUM(F19:F20)</f>
        <v>4491000</v>
      </c>
      <c r="G21" s="43"/>
      <c r="H21" s="43">
        <f>SUM(H19:H20)</f>
        <v>3347708.79</v>
      </c>
      <c r="I21" s="43"/>
      <c r="J21" s="43">
        <f>F21-H21</f>
        <v>1143291.21</v>
      </c>
      <c r="K21" s="43"/>
      <c r="L21" s="43">
        <f>SUM(L19:L20)</f>
        <v>5173.89000000013</v>
      </c>
      <c r="M21" s="43"/>
      <c r="N21" s="43">
        <f>J21-L21</f>
        <v>1138117.3199999998</v>
      </c>
    </row>
    <row r="22" spans="1:14" ht="3" customHeight="1">
      <c r="A22" s="49"/>
      <c r="B22" s="44"/>
      <c r="C22" s="44"/>
      <c r="D22" s="45"/>
      <c r="E22" s="45"/>
      <c r="F22" s="46"/>
      <c r="G22" s="46"/>
      <c r="H22" s="46"/>
      <c r="I22" s="46"/>
      <c r="J22" s="46"/>
      <c r="K22" s="46"/>
      <c r="L22" s="46"/>
      <c r="M22" s="46"/>
      <c r="N22" s="46"/>
    </row>
    <row r="23" spans="1:14" ht="43.5" customHeight="1">
      <c r="A23" s="49"/>
      <c r="B23" s="41" t="s">
        <v>10</v>
      </c>
      <c r="C23" s="41"/>
      <c r="D23" s="42">
        <f>SUM(D21+D16+D11)</f>
        <v>33683000</v>
      </c>
      <c r="E23" s="42"/>
      <c r="F23" s="43">
        <f>F21+F16+F11</f>
        <v>33683000</v>
      </c>
      <c r="G23" s="43"/>
      <c r="H23" s="43">
        <f>H21+H16+H11</f>
        <v>32394773.52</v>
      </c>
      <c r="I23" s="43"/>
      <c r="J23" s="43">
        <f>F23-H23</f>
        <v>1288226.4800000004</v>
      </c>
      <c r="K23" s="43"/>
      <c r="L23" s="43">
        <f>L21+L16+L11</f>
        <v>150109.16000000015</v>
      </c>
      <c r="M23" s="43"/>
      <c r="N23" s="43">
        <f>J23-L23</f>
        <v>1138117.3200000003</v>
      </c>
    </row>
    <row r="24" spans="1:14" ht="15" customHeight="1">
      <c r="A24" s="49"/>
      <c r="B24" s="41"/>
      <c r="C24" s="41"/>
      <c r="D24" s="42"/>
      <c r="E24" s="42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5.75">
      <c r="A25" s="27"/>
      <c r="B25" s="28" t="s">
        <v>2</v>
      </c>
      <c r="C25" s="28"/>
      <c r="D25" s="35"/>
      <c r="E25" s="35"/>
      <c r="F25" s="28"/>
      <c r="G25" s="28"/>
      <c r="H25" s="28"/>
      <c r="I25" s="28"/>
      <c r="J25" s="35"/>
      <c r="K25" s="35"/>
      <c r="L25" s="35"/>
      <c r="M25" s="35"/>
      <c r="N25" s="27"/>
    </row>
    <row r="26" spans="1:14" ht="15.75">
      <c r="A26" s="27"/>
      <c r="B26" s="178" t="s">
        <v>8</v>
      </c>
      <c r="C26" s="178"/>
      <c r="D26" s="178"/>
      <c r="E26" s="178"/>
      <c r="F26" s="178"/>
      <c r="G26" s="28"/>
      <c r="H26" s="28"/>
      <c r="I26" s="28"/>
      <c r="J26" s="35"/>
      <c r="K26" s="35"/>
      <c r="L26" s="35"/>
      <c r="M26" s="35"/>
      <c r="N26" s="27"/>
    </row>
    <row r="27" ht="15.75">
      <c r="B27" s="26" t="s">
        <v>132</v>
      </c>
    </row>
    <row r="32" ht="15.75">
      <c r="B32" s="157" t="s">
        <v>174</v>
      </c>
    </row>
    <row r="33" ht="15.75">
      <c r="B33" s="158" t="s">
        <v>175</v>
      </c>
    </row>
    <row r="34" spans="2:4" ht="15.75">
      <c r="B34" s="157"/>
      <c r="C34" s="157"/>
      <c r="D34" s="157"/>
    </row>
    <row r="35" spans="2:4" ht="15.75">
      <c r="B35" s="165" t="s">
        <v>176</v>
      </c>
      <c r="C35" s="157"/>
      <c r="D35" s="157">
        <v>2181.45</v>
      </c>
    </row>
    <row r="36" spans="2:4" ht="15.75">
      <c r="B36" s="165" t="s">
        <v>177</v>
      </c>
      <c r="C36" s="157"/>
      <c r="D36" s="157">
        <v>12696.09</v>
      </c>
    </row>
    <row r="37" spans="2:4" ht="15.75">
      <c r="B37" s="165" t="s">
        <v>176</v>
      </c>
      <c r="C37" s="157"/>
      <c r="D37" s="157">
        <v>100000</v>
      </c>
    </row>
    <row r="38" spans="2:4" ht="15.75">
      <c r="B38" s="157"/>
      <c r="C38" s="157"/>
      <c r="D38" s="157"/>
    </row>
    <row r="39" spans="2:4" ht="15.75">
      <c r="B39" s="157"/>
      <c r="C39" s="157"/>
      <c r="D39" s="157"/>
    </row>
    <row r="40" spans="2:4" ht="15.75">
      <c r="B40" s="165" t="s">
        <v>128</v>
      </c>
      <c r="C40" s="157"/>
      <c r="D40" s="157">
        <f>SUM(D35:D39)</f>
        <v>114877.54000000001</v>
      </c>
    </row>
    <row r="41" spans="2:4" ht="15.75">
      <c r="B41" s="157"/>
      <c r="C41" s="157"/>
      <c r="D41" s="157"/>
    </row>
    <row r="42" spans="2:4" ht="15.75">
      <c r="B42" s="157"/>
      <c r="C42" s="157"/>
      <c r="D42" s="157"/>
    </row>
    <row r="43" spans="2:4" ht="15.75">
      <c r="B43" s="157"/>
      <c r="C43" s="157"/>
      <c r="D43" s="157"/>
    </row>
    <row r="44" spans="2:4" ht="15.75">
      <c r="B44" s="157"/>
      <c r="C44" s="157"/>
      <c r="D44" s="157"/>
    </row>
    <row r="45" spans="2:4" ht="15.75">
      <c r="B45" s="157"/>
      <c r="C45" s="157"/>
      <c r="D45" s="157"/>
    </row>
    <row r="46" spans="2:4" ht="15.75">
      <c r="B46" s="157"/>
      <c r="C46" s="157"/>
      <c r="D46" s="157"/>
    </row>
    <row r="47" spans="2:4" ht="15.75">
      <c r="B47" s="157"/>
      <c r="C47" s="157"/>
      <c r="D47" s="157"/>
    </row>
    <row r="48" spans="2:4" ht="15.75">
      <c r="B48" s="157"/>
      <c r="C48" s="157"/>
      <c r="D48" s="157"/>
    </row>
    <row r="49" spans="2:4" ht="15.75">
      <c r="B49" s="157"/>
      <c r="C49" s="157"/>
      <c r="D49" s="157"/>
    </row>
    <row r="50" spans="2:4" ht="15.75">
      <c r="B50" s="157"/>
      <c r="C50" s="157"/>
      <c r="D50" s="157"/>
    </row>
  </sheetData>
  <mergeCells count="4">
    <mergeCell ref="B1:N1"/>
    <mergeCell ref="B26:F26"/>
    <mergeCell ref="B3:N3"/>
    <mergeCell ref="D5:F5"/>
  </mergeCells>
  <printOptions horizontalCentered="1"/>
  <pageMargins left="0.75" right="0.75" top="0.75" bottom="0.75" header="0.5" footer="0.5"/>
  <pageSetup horizontalDpi="600" verticalDpi="600" orientation="portrait" scale="85" r:id="rId4"/>
  <headerFooter alignWithMargins="0">
    <oddFooter>&amp;L&amp;"Tahoma,Regular"&amp;8Prepared by VDEM&amp;C&amp;"Tahoma,Regular"&amp;8&amp;P
&amp;"Tahoma,Italic"Confidential
Governor's Working Papers&amp;R&amp;"Tahoma,Regular"&amp;8Report Date &amp;D
as of February 28,2006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0"/>
  <sheetViews>
    <sheetView workbookViewId="0" topLeftCell="A25">
      <selection activeCell="D42" sqref="D42"/>
    </sheetView>
  </sheetViews>
  <sheetFormatPr defaultColWidth="9.00390625" defaultRowHeight="15.75"/>
  <cols>
    <col min="1" max="1" width="0.875" style="114" customWidth="1"/>
    <col min="2" max="2" width="30.50390625" style="115" customWidth="1"/>
    <col min="3" max="3" width="12.875" style="114" customWidth="1"/>
    <col min="4" max="4" width="4.625" style="114" customWidth="1"/>
    <col min="5" max="5" width="11.75390625" style="114" bestFit="1" customWidth="1"/>
    <col min="6" max="6" width="4.625" style="114" customWidth="1"/>
    <col min="7" max="7" width="11.75390625" style="114" bestFit="1" customWidth="1"/>
    <col min="8" max="16384" width="9.00390625" style="114" customWidth="1"/>
  </cols>
  <sheetData>
    <row r="1" spans="2:7" ht="15">
      <c r="B1" s="181" t="s">
        <v>143</v>
      </c>
      <c r="C1" s="182"/>
      <c r="D1" s="182"/>
      <c r="E1" s="182"/>
      <c r="F1" s="182"/>
      <c r="G1" s="182"/>
    </row>
    <row r="2" spans="2:7" ht="15">
      <c r="B2" s="181" t="s">
        <v>144</v>
      </c>
      <c r="C2" s="182"/>
      <c r="D2" s="182"/>
      <c r="E2" s="182"/>
      <c r="F2" s="182"/>
      <c r="G2" s="182"/>
    </row>
    <row r="3" spans="2:7" ht="6" customHeight="1">
      <c r="B3" s="40"/>
      <c r="C3" s="119"/>
      <c r="D3" s="119"/>
      <c r="E3" s="119"/>
      <c r="F3" s="119"/>
      <c r="G3" s="119"/>
    </row>
    <row r="4" spans="2:7" ht="16.5" customHeight="1">
      <c r="B4" s="40" t="s">
        <v>145</v>
      </c>
      <c r="C4" s="119"/>
      <c r="D4" s="119"/>
      <c r="E4" s="119"/>
      <c r="F4" s="119"/>
      <c r="G4" s="119"/>
    </row>
    <row r="5" spans="2:7" ht="6" customHeight="1">
      <c r="B5" s="40"/>
      <c r="C5" s="119"/>
      <c r="D5" s="119"/>
      <c r="E5" s="119"/>
      <c r="F5" s="119"/>
      <c r="G5" s="119"/>
    </row>
    <row r="6" spans="2:7" ht="13.5" customHeight="1">
      <c r="B6" s="181" t="s">
        <v>133</v>
      </c>
      <c r="C6" s="182"/>
      <c r="D6" s="182"/>
      <c r="E6" s="182"/>
      <c r="F6" s="182"/>
      <c r="G6" s="182"/>
    </row>
    <row r="8" spans="2:7" s="26" customFormat="1" ht="26.25" customHeight="1">
      <c r="B8" s="33" t="s">
        <v>134</v>
      </c>
      <c r="C8" s="117" t="s">
        <v>135</v>
      </c>
      <c r="D8" s="118"/>
      <c r="E8" s="117" t="s">
        <v>136</v>
      </c>
      <c r="F8" s="118"/>
      <c r="G8" s="117" t="s">
        <v>128</v>
      </c>
    </row>
    <row r="9" spans="2:7" s="26" customFormat="1" ht="21.75" customHeight="1">
      <c r="B9" s="27" t="s">
        <v>137</v>
      </c>
      <c r="C9" s="116">
        <v>2245500</v>
      </c>
      <c r="E9" s="116">
        <v>2245500</v>
      </c>
      <c r="G9" s="116">
        <v>4491000</v>
      </c>
    </row>
    <row r="10" spans="2:7" s="26" customFormat="1" ht="12.75">
      <c r="B10" s="27"/>
      <c r="C10" s="116"/>
      <c r="E10" s="116"/>
      <c r="G10" s="116"/>
    </row>
    <row r="11" spans="2:7" s="26" customFormat="1" ht="21.75" customHeight="1">
      <c r="B11" s="27" t="s">
        <v>146</v>
      </c>
      <c r="C11" s="116">
        <v>-468395.61</v>
      </c>
      <c r="E11" s="116">
        <v>-136283.35</v>
      </c>
      <c r="G11" s="116">
        <f>SUM(C11:E11)</f>
        <v>-604678.96</v>
      </c>
    </row>
    <row r="12" spans="2:7" s="26" customFormat="1" ht="12.75">
      <c r="B12" s="27"/>
      <c r="C12" s="116"/>
      <c r="E12" s="116"/>
      <c r="G12" s="116"/>
    </row>
    <row r="13" spans="2:7" s="26" customFormat="1" ht="21.75" customHeight="1">
      <c r="B13" s="27" t="s">
        <v>147</v>
      </c>
      <c r="C13" s="116">
        <v>-222203.8</v>
      </c>
      <c r="E13" s="116">
        <v>-41695.03</v>
      </c>
      <c r="G13" s="116">
        <f>SUM(C13:E13)</f>
        <v>-263898.82999999996</v>
      </c>
    </row>
    <row r="14" spans="2:7" s="26" customFormat="1" ht="12.75">
      <c r="B14" s="27"/>
      <c r="C14" s="116"/>
      <c r="E14" s="116"/>
      <c r="G14" s="116"/>
    </row>
    <row r="15" spans="2:7" s="26" customFormat="1" ht="21.75" customHeight="1">
      <c r="B15" s="27" t="s">
        <v>138</v>
      </c>
      <c r="C15" s="116">
        <v>-342190</v>
      </c>
      <c r="G15" s="116">
        <f>SUM(C15:E15)</f>
        <v>-342190</v>
      </c>
    </row>
    <row r="16" spans="2:7" s="26" customFormat="1" ht="12.75">
      <c r="B16" s="27"/>
      <c r="C16" s="116"/>
      <c r="G16" s="116"/>
    </row>
    <row r="17" spans="2:7" s="26" customFormat="1" ht="21.75" customHeight="1">
      <c r="B17" s="27" t="s">
        <v>139</v>
      </c>
      <c r="C17" s="116">
        <v>-206546</v>
      </c>
      <c r="G17" s="116">
        <f>SUM(C17:E17)</f>
        <v>-206546</v>
      </c>
    </row>
    <row r="18" spans="2:7" s="26" customFormat="1" ht="12.75">
      <c r="B18" s="27"/>
      <c r="C18" s="116"/>
      <c r="G18" s="116"/>
    </row>
    <row r="19" spans="2:7" s="26" customFormat="1" ht="21.75" customHeight="1">
      <c r="B19" s="27" t="s">
        <v>140</v>
      </c>
      <c r="E19" s="116">
        <v>-209719.48</v>
      </c>
      <c r="G19" s="116">
        <f>SUM(C19:E19)</f>
        <v>-209719.48</v>
      </c>
    </row>
    <row r="20" spans="2:7" s="26" customFormat="1" ht="12.75">
      <c r="B20" s="27"/>
      <c r="E20" s="116"/>
      <c r="G20" s="116"/>
    </row>
    <row r="21" spans="2:7" s="26" customFormat="1" ht="21.75" customHeight="1">
      <c r="B21" s="27" t="s">
        <v>139</v>
      </c>
      <c r="C21" s="116">
        <v>-526000</v>
      </c>
      <c r="G21" s="116">
        <f>SUM(C21:E21)</f>
        <v>-526000</v>
      </c>
    </row>
    <row r="22" spans="2:7" s="26" customFormat="1" ht="12.75">
      <c r="B22" s="27"/>
      <c r="C22" s="116"/>
      <c r="G22" s="116"/>
    </row>
    <row r="23" spans="2:7" s="26" customFormat="1" ht="21.75" customHeight="1">
      <c r="B23" s="27" t="s">
        <v>139</v>
      </c>
      <c r="C23" s="116">
        <v>-100000</v>
      </c>
      <c r="G23" s="116">
        <f>SUM(C23:E23)</f>
        <v>-100000</v>
      </c>
    </row>
    <row r="24" spans="2:7" s="26" customFormat="1" ht="12.75">
      <c r="B24" s="27"/>
      <c r="C24" s="116"/>
      <c r="G24" s="116"/>
    </row>
    <row r="25" spans="2:7" s="26" customFormat="1" ht="21.75" customHeight="1">
      <c r="B25" s="27" t="s">
        <v>152</v>
      </c>
      <c r="E25" s="116">
        <v>-219684.82</v>
      </c>
      <c r="G25" s="116">
        <f>SUM(C25:E25)</f>
        <v>-219684.82</v>
      </c>
    </row>
    <row r="26" spans="2:7" s="26" customFormat="1" ht="12.75">
      <c r="B26" s="27"/>
      <c r="E26" s="116"/>
      <c r="G26" s="116"/>
    </row>
    <row r="27" spans="2:7" s="26" customFormat="1" ht="21.75" customHeight="1">
      <c r="B27" s="27" t="s">
        <v>139</v>
      </c>
      <c r="C27" s="116">
        <v>-100000</v>
      </c>
      <c r="G27" s="116">
        <f>SUM(C27:E27)</f>
        <v>-100000</v>
      </c>
    </row>
    <row r="28" spans="2:7" s="26" customFormat="1" ht="12.75">
      <c r="B28" s="27"/>
      <c r="C28" s="116"/>
      <c r="G28" s="116"/>
    </row>
    <row r="29" spans="2:7" s="26" customFormat="1" ht="26.25" customHeight="1">
      <c r="B29" s="27" t="s">
        <v>141</v>
      </c>
      <c r="C29" s="141">
        <v>574.65</v>
      </c>
      <c r="E29" s="112"/>
      <c r="G29" s="116">
        <f>SUM(C29:E29)</f>
        <v>574.65</v>
      </c>
    </row>
    <row r="30" spans="2:7" s="26" customFormat="1" ht="12.75" customHeight="1">
      <c r="B30" s="27"/>
      <c r="C30" s="141"/>
      <c r="E30" s="112"/>
      <c r="G30" s="141"/>
    </row>
    <row r="31" spans="2:7" s="26" customFormat="1" ht="41.25" customHeight="1">
      <c r="B31" s="27" t="s">
        <v>169</v>
      </c>
      <c r="C31" s="142"/>
      <c r="D31" s="143"/>
      <c r="E31" s="142">
        <v>-500000</v>
      </c>
      <c r="F31" s="143"/>
      <c r="G31" s="116">
        <f>SUM(C31:E31)</f>
        <v>-500000</v>
      </c>
    </row>
    <row r="32" spans="2:7" s="26" customFormat="1" ht="12.75" customHeight="1">
      <c r="B32" s="27"/>
      <c r="C32" s="142"/>
      <c r="D32" s="143"/>
      <c r="E32" s="142"/>
      <c r="F32" s="143"/>
      <c r="G32" s="142"/>
    </row>
    <row r="33" spans="2:7" s="26" customFormat="1" ht="26.25" customHeight="1">
      <c r="B33" s="27" t="s">
        <v>139</v>
      </c>
      <c r="C33" s="142">
        <v>-70000</v>
      </c>
      <c r="D33" s="143"/>
      <c r="F33" s="143"/>
      <c r="G33" s="116">
        <f>SUM(C33:D33)</f>
        <v>-70000</v>
      </c>
    </row>
    <row r="34" spans="2:7" s="26" customFormat="1" ht="12.75" customHeight="1">
      <c r="B34" s="27"/>
      <c r="C34" s="141"/>
      <c r="E34" s="112"/>
      <c r="G34" s="141"/>
    </row>
    <row r="35" spans="2:7" s="26" customFormat="1" ht="39.75" customHeight="1">
      <c r="B35" s="27" t="s">
        <v>170</v>
      </c>
      <c r="C35" s="141">
        <v>-210739.24</v>
      </c>
      <c r="E35" s="112"/>
      <c r="G35" s="141"/>
    </row>
    <row r="36" s="26" customFormat="1" ht="12.75">
      <c r="B36" s="27"/>
    </row>
    <row r="37" spans="2:7" s="26" customFormat="1" ht="21.75" customHeight="1">
      <c r="B37" s="27" t="s">
        <v>142</v>
      </c>
      <c r="C37" s="116">
        <f>SUM(C9:C36)</f>
        <v>0</v>
      </c>
      <c r="E37" s="116">
        <f>SUM(E9:E36)</f>
        <v>1138117.3199999998</v>
      </c>
      <c r="G37" s="116">
        <f>SUM(C37:E37)</f>
        <v>1138117.3199999998</v>
      </c>
    </row>
    <row r="40" ht="23.25">
      <c r="B40" s="167" t="s">
        <v>179</v>
      </c>
    </row>
  </sheetData>
  <mergeCells count="3">
    <mergeCell ref="B1:G1"/>
    <mergeCell ref="B6:G6"/>
    <mergeCell ref="B2:G2"/>
  </mergeCells>
  <printOptions horizontalCentered="1"/>
  <pageMargins left="0.75" right="0.75" top="0.5" bottom="0.5" header="0.5" footer="0.5"/>
  <pageSetup horizontalDpi="600" verticalDpi="600" orientation="portrait" r:id="rId1"/>
  <headerFooter alignWithMargins="0">
    <oddFooter>&amp;L&amp;"Tahoma,Regular"&amp;8Prepared by VDEM&amp;C&amp;"Tahoma,Regular"&amp;8&amp;P
&amp;"Tahoma,Italic"Confidential
Governor's Working Papers&amp;R&amp;"Tahoma,Regular"&amp;8Report Date &amp;D
as of February 28, 2006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9">
      <selection activeCell="B15" sqref="B15"/>
    </sheetView>
  </sheetViews>
  <sheetFormatPr defaultColWidth="9.00390625" defaultRowHeight="15.75"/>
  <cols>
    <col min="1" max="1" width="1.25" style="0" customWidth="1"/>
    <col min="2" max="2" width="15.625" style="0" customWidth="1"/>
    <col min="3" max="3" width="12.375" style="0" customWidth="1"/>
    <col min="4" max="4" width="0.875" style="0" customWidth="1"/>
    <col min="5" max="5" width="13.125" style="0" customWidth="1"/>
    <col min="6" max="6" width="0.875" style="0" customWidth="1"/>
    <col min="7" max="7" width="12.875" style="0" customWidth="1"/>
    <col min="8" max="8" width="0.875" style="0" customWidth="1"/>
    <col min="9" max="9" width="12.625" style="0" customWidth="1"/>
    <col min="10" max="10" width="0.875" style="0" customWidth="1"/>
    <col min="11" max="11" width="12.375" style="144" customWidth="1"/>
    <col min="12" max="12" width="0.875" style="144" customWidth="1"/>
    <col min="13" max="13" width="11.00390625" style="144" customWidth="1"/>
    <col min="14" max="14" width="12.125" style="0" bestFit="1" customWidth="1"/>
  </cols>
  <sheetData>
    <row r="1" spans="1:10" ht="14.25" customHeight="1">
      <c r="A1" s="1"/>
      <c r="B1" s="183" t="s">
        <v>9</v>
      </c>
      <c r="C1" s="183"/>
      <c r="D1" s="183"/>
      <c r="E1" s="183"/>
      <c r="F1" s="183"/>
      <c r="G1" s="183"/>
      <c r="H1" s="183"/>
      <c r="I1" s="183"/>
      <c r="J1" s="120"/>
    </row>
    <row r="2" spans="1:10" ht="8.25" customHeight="1">
      <c r="A2" s="1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3.5" customHeight="1">
      <c r="A3" s="1"/>
      <c r="B3" s="183" t="s">
        <v>149</v>
      </c>
      <c r="C3" s="183"/>
      <c r="D3" s="183"/>
      <c r="E3" s="183"/>
      <c r="F3" s="183"/>
      <c r="G3" s="183"/>
      <c r="H3" s="183"/>
      <c r="I3" s="183"/>
      <c r="J3" s="120"/>
    </row>
    <row r="4" spans="1:10" ht="9" customHeight="1">
      <c r="A4" s="1"/>
      <c r="B4" s="120"/>
      <c r="C4" s="120"/>
      <c r="D4" s="120"/>
      <c r="E4" s="120"/>
      <c r="F4" s="120"/>
      <c r="G4" s="120"/>
      <c r="H4" s="120"/>
      <c r="I4" s="120"/>
      <c r="J4" s="120"/>
    </row>
    <row r="5" spans="1:10" ht="12.75" customHeight="1">
      <c r="A5" s="1"/>
      <c r="B5" s="120" t="s">
        <v>15</v>
      </c>
      <c r="C5" s="186">
        <v>38776</v>
      </c>
      <c r="D5" s="180"/>
      <c r="E5" s="180"/>
      <c r="F5" s="120"/>
      <c r="G5" s="120"/>
      <c r="H5" s="120"/>
      <c r="I5" s="120"/>
      <c r="J5" s="120"/>
    </row>
    <row r="6" spans="1:10" ht="9.75" customHeight="1">
      <c r="A6" s="1"/>
      <c r="B6" s="2"/>
      <c r="C6" s="3"/>
      <c r="D6" s="3"/>
      <c r="E6" s="2"/>
      <c r="F6" s="2"/>
      <c r="G6" s="2"/>
      <c r="H6" s="2"/>
      <c r="I6" s="2"/>
      <c r="J6" s="2"/>
    </row>
    <row r="7" spans="1:10" ht="11.25" customHeight="1">
      <c r="A7" s="1"/>
      <c r="B7" s="4"/>
      <c r="C7" s="5"/>
      <c r="D7" s="5"/>
      <c r="E7" s="4"/>
      <c r="F7" s="4"/>
      <c r="G7" s="4"/>
      <c r="H7" s="4"/>
      <c r="I7" s="4"/>
      <c r="J7" s="4"/>
    </row>
    <row r="8" spans="1:13" ht="42" customHeight="1">
      <c r="A8" s="1"/>
      <c r="B8" s="6" t="s">
        <v>14</v>
      </c>
      <c r="C8" s="7" t="s">
        <v>11</v>
      </c>
      <c r="D8" s="7"/>
      <c r="E8" s="6" t="s">
        <v>3</v>
      </c>
      <c r="F8" s="6"/>
      <c r="G8" s="6" t="s">
        <v>0</v>
      </c>
      <c r="H8" s="6"/>
      <c r="I8" s="7" t="s">
        <v>17</v>
      </c>
      <c r="J8" s="7"/>
      <c r="K8" s="34" t="s">
        <v>23</v>
      </c>
      <c r="L8" s="34"/>
      <c r="M8" s="34" t="s">
        <v>49</v>
      </c>
    </row>
    <row r="9" spans="1:13" ht="41.25" customHeight="1">
      <c r="A9" s="1"/>
      <c r="B9" s="8" t="s">
        <v>1</v>
      </c>
      <c r="C9" s="9"/>
      <c r="D9" s="9"/>
      <c r="E9" s="10">
        <v>24531200</v>
      </c>
      <c r="F9" s="10"/>
      <c r="G9" s="10">
        <f>2978469.07+4369662.35+2060552.35+2014736.53+908452.53+17625.43+39986+778431.03</f>
        <v>13167915.289999997</v>
      </c>
      <c r="H9" s="10"/>
      <c r="I9" s="9">
        <f aca="true" t="shared" si="0" ref="I9:I14">E9-G9</f>
        <v>11363284.710000003</v>
      </c>
      <c r="J9" s="9"/>
      <c r="K9" s="144">
        <f aca="true" t="shared" si="1" ref="K9:K14">I9</f>
        <v>11363284.710000003</v>
      </c>
      <c r="M9" s="144">
        <f>I9-K9</f>
        <v>0</v>
      </c>
    </row>
    <row r="10" spans="1:13" ht="45.75" customHeight="1">
      <c r="A10" s="1"/>
      <c r="B10" s="8" t="s">
        <v>4</v>
      </c>
      <c r="C10" s="9"/>
      <c r="D10" s="9"/>
      <c r="E10" s="10">
        <v>1660000</v>
      </c>
      <c r="F10" s="10"/>
      <c r="G10" s="10">
        <f>162964+160014.56+87635.46+618657.49+339648.47+45605.99+128141</f>
        <v>1542666.97</v>
      </c>
      <c r="H10" s="10"/>
      <c r="I10" s="9">
        <f t="shared" si="0"/>
        <v>117333.03000000003</v>
      </c>
      <c r="J10" s="9"/>
      <c r="K10" s="144">
        <f t="shared" si="1"/>
        <v>117333.03000000003</v>
      </c>
      <c r="M10" s="144">
        <f>I10-K10</f>
        <v>0</v>
      </c>
    </row>
    <row r="11" spans="1:13" ht="42" customHeight="1">
      <c r="A11" s="1"/>
      <c r="B11" s="8" t="s">
        <v>5</v>
      </c>
      <c r="C11" s="9"/>
      <c r="D11" s="9"/>
      <c r="E11" s="10">
        <v>2000000</v>
      </c>
      <c r="F11" s="10"/>
      <c r="G11" s="10">
        <f>1786650.84+14152.03+166961.84</f>
        <v>1967764.7100000002</v>
      </c>
      <c r="H11" s="10"/>
      <c r="I11" s="9">
        <f t="shared" si="0"/>
        <v>32235.289999999804</v>
      </c>
      <c r="J11" s="9"/>
      <c r="K11" s="144">
        <f t="shared" si="1"/>
        <v>32235.289999999804</v>
      </c>
      <c r="M11" s="144">
        <f>I11-K11</f>
        <v>0</v>
      </c>
    </row>
    <row r="12" spans="1:13" ht="40.5" customHeight="1">
      <c r="A12" s="1"/>
      <c r="B12" s="8" t="s">
        <v>18</v>
      </c>
      <c r="C12" s="9"/>
      <c r="D12" s="9"/>
      <c r="E12" s="10">
        <v>500000</v>
      </c>
      <c r="F12" s="10"/>
      <c r="G12" s="10">
        <f>484885.36+1747.94+13366.7</f>
        <v>500000</v>
      </c>
      <c r="H12" s="10"/>
      <c r="I12" s="9">
        <f t="shared" si="0"/>
        <v>0</v>
      </c>
      <c r="J12" s="9"/>
      <c r="K12" s="144">
        <f t="shared" si="1"/>
        <v>0</v>
      </c>
      <c r="M12" s="144">
        <f>I12-K12</f>
        <v>0</v>
      </c>
    </row>
    <row r="13" spans="1:13" ht="40.5" customHeight="1">
      <c r="A13" s="1"/>
      <c r="B13" s="8" t="s">
        <v>162</v>
      </c>
      <c r="C13" s="9"/>
      <c r="D13" s="9"/>
      <c r="E13" s="10">
        <v>474848</v>
      </c>
      <c r="F13" s="10"/>
      <c r="G13" s="10">
        <f>34960+78910+5930+172.15+10640+7600+10095.48+15200</f>
        <v>163507.63</v>
      </c>
      <c r="H13" s="10"/>
      <c r="I13" s="9">
        <f t="shared" si="0"/>
        <v>311340.37</v>
      </c>
      <c r="J13" s="9"/>
      <c r="K13" s="144">
        <f t="shared" si="1"/>
        <v>311340.37</v>
      </c>
      <c r="M13" s="144">
        <f>I13-K13</f>
        <v>0</v>
      </c>
    </row>
    <row r="14" spans="1:13" ht="42.75" customHeight="1" thickBot="1">
      <c r="A14" s="1"/>
      <c r="B14" s="8" t="s">
        <v>182</v>
      </c>
      <c r="C14" s="11"/>
      <c r="D14" s="9"/>
      <c r="E14" s="12">
        <v>925152</v>
      </c>
      <c r="F14" s="19"/>
      <c r="G14" s="12">
        <v>0</v>
      </c>
      <c r="H14" s="19"/>
      <c r="I14" s="11">
        <f t="shared" si="0"/>
        <v>925152</v>
      </c>
      <c r="J14" s="9"/>
      <c r="K14" s="145">
        <f t="shared" si="1"/>
        <v>925152</v>
      </c>
      <c r="M14" s="145">
        <f>E14-K14</f>
        <v>0</v>
      </c>
    </row>
    <row r="15" spans="1:14" ht="48" customHeight="1" thickTop="1">
      <c r="A15" s="1"/>
      <c r="B15" s="13" t="s">
        <v>12</v>
      </c>
      <c r="C15" s="14">
        <v>30091200</v>
      </c>
      <c r="D15" s="14"/>
      <c r="E15" s="15">
        <f>SUM(E9:E14)</f>
        <v>30091200</v>
      </c>
      <c r="F15" s="15"/>
      <c r="G15" s="15">
        <f>SUM(G9:G14)</f>
        <v>17341854.599999998</v>
      </c>
      <c r="H15" s="15"/>
      <c r="I15" s="15">
        <f>SUM(I9:I14)</f>
        <v>12749345.4</v>
      </c>
      <c r="J15" s="15"/>
      <c r="K15" s="15">
        <f>SUM(K9:K14)</f>
        <v>12749345.4</v>
      </c>
      <c r="M15" s="15">
        <f>SUM(M9:M14)</f>
        <v>0</v>
      </c>
      <c r="N15" s="111">
        <f>I15+G15</f>
        <v>30091200</v>
      </c>
    </row>
    <row r="16" spans="1:13" ht="3" customHeight="1">
      <c r="A16" s="1"/>
      <c r="B16" s="16"/>
      <c r="C16" s="17"/>
      <c r="D16" s="17"/>
      <c r="E16" s="18"/>
      <c r="F16" s="18"/>
      <c r="G16" s="18"/>
      <c r="H16" s="18"/>
      <c r="I16" s="18"/>
      <c r="J16" s="18"/>
      <c r="K16" s="148"/>
      <c r="L16" s="148"/>
      <c r="M16" s="148"/>
    </row>
    <row r="17" spans="1:13" ht="42.75" customHeight="1">
      <c r="A17" s="1"/>
      <c r="B17" s="8" t="s">
        <v>20</v>
      </c>
      <c r="C17" s="9">
        <v>6540509</v>
      </c>
      <c r="D17" s="9"/>
      <c r="E17" s="19">
        <f>7052373-511864</f>
        <v>6540509</v>
      </c>
      <c r="F17" s="19"/>
      <c r="G17" s="19">
        <f>18777.95+300435.52+600000+438.38+32031+6796.8+158733+31850+617500+9820+123477+32771.2+-5.25+--5.25</f>
        <v>1932630.8499999999</v>
      </c>
      <c r="H17" s="19"/>
      <c r="I17" s="9">
        <f>E17-G17</f>
        <v>4607878.15</v>
      </c>
      <c r="J17" s="9"/>
      <c r="K17" s="144">
        <f>I17</f>
        <v>4607878.15</v>
      </c>
      <c r="M17" s="144">
        <f>I17-K17</f>
        <v>0</v>
      </c>
    </row>
    <row r="18" spans="1:13" ht="37.5" customHeight="1" thickBot="1">
      <c r="A18" s="1"/>
      <c r="B18" s="8" t="s">
        <v>21</v>
      </c>
      <c r="C18" s="11">
        <v>754244</v>
      </c>
      <c r="D18" s="9"/>
      <c r="E18" s="12">
        <f>982291-228047</f>
        <v>754244</v>
      </c>
      <c r="F18" s="19"/>
      <c r="G18" s="12">
        <v>754244</v>
      </c>
      <c r="H18" s="19"/>
      <c r="I18" s="11">
        <f>E18-G18</f>
        <v>0</v>
      </c>
      <c r="J18" s="11"/>
      <c r="K18" s="145">
        <f>I18</f>
        <v>0</v>
      </c>
      <c r="M18" s="145">
        <f>I18-K18</f>
        <v>0</v>
      </c>
    </row>
    <row r="19" spans="1:13" ht="52.5" customHeight="1" thickTop="1">
      <c r="A19" s="1"/>
      <c r="B19" s="13" t="s">
        <v>13</v>
      </c>
      <c r="C19" s="14">
        <f>SUM(C17:C18)</f>
        <v>7294753</v>
      </c>
      <c r="D19" s="14"/>
      <c r="E19" s="15">
        <f>SUM(E17:E18)</f>
        <v>7294753</v>
      </c>
      <c r="F19" s="15"/>
      <c r="G19" s="15">
        <f>SUM(G17:G18)</f>
        <v>2686874.8499999996</v>
      </c>
      <c r="H19" s="15"/>
      <c r="I19" s="14">
        <f>SUM(I17:I18)</f>
        <v>4607878.15</v>
      </c>
      <c r="J19" s="14"/>
      <c r="K19" s="14">
        <f>SUM(K17:K18)</f>
        <v>4607878.15</v>
      </c>
      <c r="M19" s="14">
        <f>SUM(M17:M18)</f>
        <v>0</v>
      </c>
    </row>
    <row r="20" spans="1:13" ht="3" customHeight="1">
      <c r="A20" s="1"/>
      <c r="B20" s="16"/>
      <c r="C20" s="17"/>
      <c r="D20" s="17"/>
      <c r="E20" s="18"/>
      <c r="F20" s="18"/>
      <c r="G20" s="18"/>
      <c r="H20" s="18"/>
      <c r="I20" s="17"/>
      <c r="J20" s="17"/>
      <c r="K20" s="148"/>
      <c r="L20" s="148"/>
      <c r="M20" s="148"/>
    </row>
    <row r="21" spans="1:13" ht="63" customHeight="1">
      <c r="A21" s="1"/>
      <c r="B21" s="6" t="s">
        <v>60</v>
      </c>
      <c r="C21" s="7" t="s">
        <v>11</v>
      </c>
      <c r="D21" s="7"/>
      <c r="E21" s="6" t="s">
        <v>3</v>
      </c>
      <c r="F21" s="6"/>
      <c r="G21" s="6" t="s">
        <v>0</v>
      </c>
      <c r="H21" s="6"/>
      <c r="I21" s="7" t="s">
        <v>17</v>
      </c>
      <c r="J21" s="7"/>
      <c r="K21" s="34" t="s">
        <v>23</v>
      </c>
      <c r="L21" s="150"/>
      <c r="M21" s="34" t="s">
        <v>49</v>
      </c>
    </row>
    <row r="22" spans="1:13" ht="65.25" customHeight="1">
      <c r="A22" s="1"/>
      <c r="B22" s="121" t="s">
        <v>161</v>
      </c>
      <c r="C22" s="9">
        <v>228047</v>
      </c>
      <c r="D22" s="9"/>
      <c r="E22" s="20">
        <v>228047</v>
      </c>
      <c r="F22" s="20"/>
      <c r="G22" s="20"/>
      <c r="H22" s="20"/>
      <c r="I22" s="9"/>
      <c r="J22" s="9"/>
      <c r="K22" s="159"/>
      <c r="M22" s="159"/>
    </row>
    <row r="23" spans="1:13" ht="6" customHeight="1">
      <c r="A23" s="1"/>
      <c r="B23" s="160"/>
      <c r="C23" s="161"/>
      <c r="D23" s="161"/>
      <c r="E23" s="162"/>
      <c r="F23" s="162"/>
      <c r="G23" s="162"/>
      <c r="H23" s="162"/>
      <c r="I23" s="161"/>
      <c r="J23" s="161"/>
      <c r="K23" s="163"/>
      <c r="L23" s="164"/>
      <c r="M23" s="163"/>
    </row>
    <row r="24" spans="1:13" ht="43.5" customHeight="1">
      <c r="A24" s="1"/>
      <c r="B24" s="24" t="s">
        <v>10</v>
      </c>
      <c r="C24" s="14">
        <f>SUM(C22+C19+C15)</f>
        <v>37614000</v>
      </c>
      <c r="D24" s="14"/>
      <c r="E24" s="14">
        <f>SUM(E22+E19+E15)</f>
        <v>37614000</v>
      </c>
      <c r="F24" s="15"/>
      <c r="G24" s="14">
        <f>SUM(G22+G19+G15)</f>
        <v>20028729.449999996</v>
      </c>
      <c r="H24" s="15"/>
      <c r="I24" s="15">
        <f>E24-G24</f>
        <v>17585270.550000004</v>
      </c>
      <c r="J24" s="15"/>
      <c r="K24" s="14">
        <f>SUM(K22+K19+K15)</f>
        <v>17357223.55</v>
      </c>
      <c r="M24" s="14">
        <f>SUM(M22+M19+M15)</f>
        <v>0</v>
      </c>
    </row>
    <row r="25" spans="1:10" ht="39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4.25" customHeight="1">
      <c r="A26" s="1"/>
      <c r="B26" s="107" t="s">
        <v>2</v>
      </c>
      <c r="C26" s="108"/>
      <c r="D26" s="108"/>
      <c r="E26" s="107"/>
      <c r="F26" s="107"/>
      <c r="G26" s="107"/>
      <c r="H26" s="107"/>
      <c r="I26" s="108"/>
      <c r="J26" s="108"/>
    </row>
    <row r="27" spans="1:10" ht="16.5" customHeight="1">
      <c r="A27" s="1"/>
      <c r="B27" s="184" t="s">
        <v>8</v>
      </c>
      <c r="C27" s="184"/>
      <c r="D27" s="184"/>
      <c r="E27" s="184"/>
      <c r="F27" s="187"/>
      <c r="G27" s="187"/>
      <c r="H27" s="187"/>
      <c r="I27" s="187"/>
      <c r="J27" s="108"/>
    </row>
    <row r="28" spans="1:10" ht="13.5" customHeight="1">
      <c r="A28" s="1"/>
      <c r="B28" s="184" t="s">
        <v>178</v>
      </c>
      <c r="C28" s="184"/>
      <c r="D28" s="184"/>
      <c r="E28" s="185"/>
      <c r="F28" s="185"/>
      <c r="G28" s="185"/>
      <c r="H28" s="185"/>
      <c r="I28" s="185"/>
      <c r="J28" s="122"/>
    </row>
    <row r="29" ht="15.75">
      <c r="G29" s="166">
        <f>G24/C24</f>
        <v>0.5324807106396553</v>
      </c>
    </row>
  </sheetData>
  <mergeCells count="5">
    <mergeCell ref="B1:I1"/>
    <mergeCell ref="B28:I28"/>
    <mergeCell ref="B3:I3"/>
    <mergeCell ref="C5:E5"/>
    <mergeCell ref="B27:I27"/>
  </mergeCells>
  <printOptions horizontalCentered="1"/>
  <pageMargins left="0.75" right="0.75" top="0.5" bottom="0.25" header="0.5" footer="0.5"/>
  <pageSetup horizontalDpi="600" verticalDpi="600" orientation="portrait" scale="85" r:id="rId1"/>
  <headerFooter alignWithMargins="0">
    <oddFooter>&amp;L&amp;"Tahoma,Regular"&amp;8Prepared by VDEM
&amp;C&amp;"Tahoma,Regular"&amp;8&amp;P
&amp;"Tahoma,Italic"Confidential
Governor's Working Papers&amp;R&amp;"Tahoma,Regular"&amp;8Report Date &amp;D
as of February 28, 2006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N34"/>
  <sheetViews>
    <sheetView workbookViewId="0" topLeftCell="A22">
      <selection activeCell="L18" sqref="L18"/>
    </sheetView>
  </sheetViews>
  <sheetFormatPr defaultColWidth="9.00390625" defaultRowHeight="15.75"/>
  <cols>
    <col min="1" max="1" width="0.875" style="0" customWidth="1"/>
    <col min="2" max="2" width="15.75390625" style="0" customWidth="1"/>
    <col min="3" max="3" width="0.875" style="0" customWidth="1"/>
    <col min="4" max="4" width="13.50390625" style="0" customWidth="1"/>
    <col min="5" max="5" width="0.875" style="0" customWidth="1"/>
    <col min="6" max="6" width="13.375" style="0" customWidth="1"/>
    <col min="7" max="7" width="0.875" style="0" customWidth="1"/>
    <col min="8" max="8" width="13.125" style="0" customWidth="1"/>
    <col min="9" max="9" width="0.875" style="0" customWidth="1"/>
    <col min="10" max="10" width="13.125" style="0" customWidth="1"/>
    <col min="11" max="11" width="0.875" style="0" customWidth="1"/>
    <col min="12" max="12" width="14.125" style="0" bestFit="1" customWidth="1"/>
    <col min="13" max="13" width="0.875" style="0" customWidth="1"/>
    <col min="14" max="14" width="12.75390625" style="0" customWidth="1"/>
  </cols>
  <sheetData>
    <row r="1" spans="2:11" ht="15.75">
      <c r="B1" s="183" t="s">
        <v>61</v>
      </c>
      <c r="C1" s="183"/>
      <c r="D1" s="183"/>
      <c r="E1" s="183"/>
      <c r="F1" s="183"/>
      <c r="G1" s="183"/>
      <c r="H1" s="183"/>
      <c r="I1" s="183"/>
      <c r="J1" s="183"/>
      <c r="K1" s="120"/>
    </row>
    <row r="2" spans="2:11" ht="6" customHeight="1"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2:11" ht="14.25" customHeight="1">
      <c r="B3" s="183" t="s">
        <v>150</v>
      </c>
      <c r="C3" s="183"/>
      <c r="D3" s="183"/>
      <c r="E3" s="183"/>
      <c r="F3" s="183"/>
      <c r="G3" s="183"/>
      <c r="H3" s="183"/>
      <c r="I3" s="183"/>
      <c r="J3" s="183"/>
      <c r="K3" s="120"/>
    </row>
    <row r="4" spans="2:11" ht="15.75">
      <c r="B4" s="120" t="s">
        <v>15</v>
      </c>
      <c r="C4" s="120"/>
      <c r="D4" s="186">
        <v>38776</v>
      </c>
      <c r="E4" s="180"/>
      <c r="F4" s="180"/>
      <c r="G4" s="120"/>
      <c r="H4" s="120"/>
      <c r="I4" s="120"/>
      <c r="J4" s="120"/>
      <c r="K4" s="120"/>
    </row>
    <row r="5" spans="2:11" ht="18">
      <c r="B5" s="4"/>
      <c r="C5" s="4"/>
      <c r="D5" s="5"/>
      <c r="E5" s="5"/>
      <c r="F5" s="4"/>
      <c r="G5" s="4"/>
      <c r="H5" s="4"/>
      <c r="I5" s="4"/>
      <c r="J5" s="4"/>
      <c r="K5" s="4"/>
    </row>
    <row r="6" spans="2:14" ht="38.25">
      <c r="B6" s="6" t="s">
        <v>14</v>
      </c>
      <c r="C6" s="6"/>
      <c r="D6" s="7" t="s">
        <v>11</v>
      </c>
      <c r="E6" s="7"/>
      <c r="F6" s="6" t="s">
        <v>3</v>
      </c>
      <c r="G6" s="6"/>
      <c r="H6" s="6" t="s">
        <v>0</v>
      </c>
      <c r="I6" s="6"/>
      <c r="J6" s="7" t="s">
        <v>17</v>
      </c>
      <c r="K6" s="7"/>
      <c r="L6" s="34" t="s">
        <v>23</v>
      </c>
      <c r="M6" s="34"/>
      <c r="N6" s="34" t="s">
        <v>171</v>
      </c>
    </row>
    <row r="7" spans="2:14" ht="34.5" customHeight="1">
      <c r="B7" s="8" t="s">
        <v>1</v>
      </c>
      <c r="C7" s="8"/>
      <c r="D7" s="9"/>
      <c r="E7" s="9"/>
      <c r="F7" s="10">
        <v>8458000</v>
      </c>
      <c r="G7" s="10"/>
      <c r="H7" s="10">
        <f>163607.03+252289.92+36270.23+16718.7+35227+182209.8</f>
        <v>686322.6799999999</v>
      </c>
      <c r="I7" s="10"/>
      <c r="J7" s="9">
        <f aca="true" t="shared" si="0" ref="J7:J15">F7-H7</f>
        <v>7771677.32</v>
      </c>
      <c r="K7" s="9"/>
      <c r="L7" s="144">
        <f aca="true" t="shared" si="1" ref="L7:L12">J7</f>
        <v>7771677.32</v>
      </c>
      <c r="N7" s="144">
        <f aca="true" t="shared" si="2" ref="N7:N14">J7-L7</f>
        <v>0</v>
      </c>
    </row>
    <row r="8" spans="2:14" ht="34.5" customHeight="1">
      <c r="B8" s="8" t="s">
        <v>62</v>
      </c>
      <c r="C8" s="8"/>
      <c r="D8" s="95"/>
      <c r="E8" s="95"/>
      <c r="F8" s="19">
        <v>3160000</v>
      </c>
      <c r="G8" s="19"/>
      <c r="H8" s="19"/>
      <c r="I8" s="19"/>
      <c r="J8" s="95">
        <f t="shared" si="0"/>
        <v>3160000</v>
      </c>
      <c r="K8" s="95"/>
      <c r="L8" s="146">
        <f>J8</f>
        <v>3160000</v>
      </c>
      <c r="N8" s="146">
        <f t="shared" si="2"/>
        <v>0</v>
      </c>
    </row>
    <row r="9" spans="2:14" ht="35.25" customHeight="1">
      <c r="B9" s="8" t="s">
        <v>181</v>
      </c>
      <c r="C9" s="8"/>
      <c r="D9" s="95"/>
      <c r="E9" s="95"/>
      <c r="F9" s="19">
        <v>500000</v>
      </c>
      <c r="G9" s="19"/>
      <c r="H9" s="19">
        <v>13321.54</v>
      </c>
      <c r="I9" s="19"/>
      <c r="J9" s="95">
        <f t="shared" si="0"/>
        <v>486678.46</v>
      </c>
      <c r="K9" s="95"/>
      <c r="L9" s="146">
        <f>J9</f>
        <v>486678.46</v>
      </c>
      <c r="N9" s="146">
        <f t="shared" si="2"/>
        <v>0</v>
      </c>
    </row>
    <row r="10" spans="2:14" ht="34.5" customHeight="1">
      <c r="B10" s="8" t="s">
        <v>63</v>
      </c>
      <c r="C10" s="8"/>
      <c r="D10" s="95"/>
      <c r="E10" s="95"/>
      <c r="F10" s="19">
        <v>2819333</v>
      </c>
      <c r="G10" s="19"/>
      <c r="H10" s="19"/>
      <c r="I10" s="19"/>
      <c r="J10" s="95">
        <f t="shared" si="0"/>
        <v>2819333</v>
      </c>
      <c r="K10" s="95"/>
      <c r="L10" s="146"/>
      <c r="N10" s="146">
        <f t="shared" si="2"/>
        <v>2819333</v>
      </c>
    </row>
    <row r="11" spans="2:14" ht="33" customHeight="1">
      <c r="B11" s="8" t="s">
        <v>78</v>
      </c>
      <c r="C11" s="8"/>
      <c r="D11" s="95"/>
      <c r="E11" s="95"/>
      <c r="F11" s="19">
        <v>2000000</v>
      </c>
      <c r="G11" s="19"/>
      <c r="H11" s="19"/>
      <c r="I11" s="19"/>
      <c r="J11" s="95">
        <f t="shared" si="0"/>
        <v>2000000</v>
      </c>
      <c r="K11" s="95"/>
      <c r="L11" s="146">
        <f t="shared" si="1"/>
        <v>2000000</v>
      </c>
      <c r="N11" s="146">
        <f t="shared" si="2"/>
        <v>0</v>
      </c>
    </row>
    <row r="12" spans="2:14" ht="25.5" customHeight="1">
      <c r="B12" s="8" t="s">
        <v>64</v>
      </c>
      <c r="D12" s="96"/>
      <c r="E12" s="96"/>
      <c r="F12" s="19">
        <v>1500000</v>
      </c>
      <c r="G12" s="19"/>
      <c r="H12" s="19"/>
      <c r="I12" s="19"/>
      <c r="J12" s="95">
        <f t="shared" si="0"/>
        <v>1500000</v>
      </c>
      <c r="K12" s="95"/>
      <c r="L12" s="146">
        <f t="shared" si="1"/>
        <v>1500000</v>
      </c>
      <c r="N12" s="146">
        <f t="shared" si="2"/>
        <v>0</v>
      </c>
    </row>
    <row r="13" spans="2:14" ht="33" customHeight="1">
      <c r="B13" s="8" t="s">
        <v>65</v>
      </c>
      <c r="D13" s="96"/>
      <c r="E13" s="96"/>
      <c r="F13" s="19">
        <v>500000</v>
      </c>
      <c r="G13" s="19"/>
      <c r="H13" s="19"/>
      <c r="I13" s="19"/>
      <c r="J13" s="95">
        <f t="shared" si="0"/>
        <v>500000</v>
      </c>
      <c r="K13" s="95"/>
      <c r="L13" s="146">
        <f>J13</f>
        <v>500000</v>
      </c>
      <c r="N13" s="146">
        <f t="shared" si="2"/>
        <v>0</v>
      </c>
    </row>
    <row r="14" spans="2:14" ht="31.5" customHeight="1" thickBot="1">
      <c r="B14" s="8" t="s">
        <v>66</v>
      </c>
      <c r="D14" s="97"/>
      <c r="E14" s="96"/>
      <c r="F14" s="12">
        <v>200000</v>
      </c>
      <c r="G14" s="19"/>
      <c r="H14" s="12"/>
      <c r="I14" s="19"/>
      <c r="J14" s="98">
        <f t="shared" si="0"/>
        <v>200000</v>
      </c>
      <c r="K14" s="95"/>
      <c r="L14" s="147">
        <f>J14</f>
        <v>200000</v>
      </c>
      <c r="N14" s="147">
        <f t="shared" si="2"/>
        <v>0</v>
      </c>
    </row>
    <row r="15" spans="2:14" ht="31.5" customHeight="1" thickTop="1">
      <c r="B15" s="13" t="s">
        <v>12</v>
      </c>
      <c r="C15" s="13"/>
      <c r="D15" s="14">
        <v>19137332.8</v>
      </c>
      <c r="E15" s="14"/>
      <c r="F15" s="15">
        <f>SUM(F7:F14)</f>
        <v>19137333</v>
      </c>
      <c r="G15" s="15"/>
      <c r="H15" s="15">
        <f>SUM(H7:H14)</f>
        <v>699644.22</v>
      </c>
      <c r="I15" s="15"/>
      <c r="J15" s="15">
        <f t="shared" si="0"/>
        <v>18437688.78</v>
      </c>
      <c r="K15" s="15"/>
      <c r="L15" s="152">
        <f>SUM(L7:L14)</f>
        <v>15618355.780000001</v>
      </c>
      <c r="M15" s="151"/>
      <c r="N15" s="152">
        <f>SUM(N7:N14)</f>
        <v>2819333</v>
      </c>
    </row>
    <row r="16" spans="2:14" ht="3" customHeight="1">
      <c r="B16" s="16"/>
      <c r="C16" s="16"/>
      <c r="D16" s="17"/>
      <c r="E16" s="17"/>
      <c r="F16" s="18"/>
      <c r="G16" s="18"/>
      <c r="H16" s="18"/>
      <c r="I16" s="18"/>
      <c r="J16" s="18"/>
      <c r="K16" s="18"/>
      <c r="L16" s="153"/>
      <c r="M16" s="153"/>
      <c r="N16" s="153"/>
    </row>
    <row r="17" spans="2:14" ht="35.25" customHeight="1">
      <c r="B17" s="8" t="s">
        <v>20</v>
      </c>
      <c r="C17" s="8"/>
      <c r="D17" s="9"/>
      <c r="E17" s="9"/>
      <c r="F17" s="10">
        <v>3089436</v>
      </c>
      <c r="G17" s="10"/>
      <c r="H17" s="10">
        <v>3054100</v>
      </c>
      <c r="I17" s="10"/>
      <c r="J17" s="9">
        <f>F17-H17</f>
        <v>35336</v>
      </c>
      <c r="K17" s="9"/>
      <c r="L17" s="144">
        <f>J17</f>
        <v>35336</v>
      </c>
      <c r="M17" s="26"/>
      <c r="N17" s="144">
        <f>J17-L17</f>
        <v>0</v>
      </c>
    </row>
    <row r="18" spans="2:14" ht="40.5" customHeight="1">
      <c r="B18" s="8" t="s">
        <v>21</v>
      </c>
      <c r="C18" s="8"/>
      <c r="D18" s="95"/>
      <c r="E18" s="95"/>
      <c r="F18" s="19">
        <v>300000</v>
      </c>
      <c r="G18" s="19"/>
      <c r="H18" s="19"/>
      <c r="I18" s="19"/>
      <c r="J18" s="95">
        <f>F18-H18</f>
        <v>300000</v>
      </c>
      <c r="K18" s="95"/>
      <c r="L18" s="154"/>
      <c r="M18" s="112"/>
      <c r="N18" s="154">
        <f>J18-L18</f>
        <v>300000</v>
      </c>
    </row>
    <row r="19" spans="2:14" ht="56.25" customHeight="1" thickBot="1">
      <c r="B19" s="27" t="s">
        <v>164</v>
      </c>
      <c r="C19" s="8"/>
      <c r="D19" s="98"/>
      <c r="E19" s="95"/>
      <c r="F19" s="12">
        <f>68880+53615+62256+64292+68977+44635+28045+68481+80392+45159+92515</f>
        <v>677247</v>
      </c>
      <c r="G19" s="19"/>
      <c r="H19" s="12">
        <f>7970.74+5232.97+6243.3+661.71+50634.64+3326.93+7694.03+1806.92+2628.11+5601.73+5587.34+7920.48+3614.05+5662.38+3670.67+230380+5826.87+7644.98+3711.78+7213+5834.52+7624.85+4223.72+3711.78+6462.07+1709.37+5926.87+22221.01+3711.77+20787.45+8730.39</f>
        <v>463976.43000000005</v>
      </c>
      <c r="I19" s="19"/>
      <c r="J19" s="98">
        <f>F19-H19</f>
        <v>213270.56999999995</v>
      </c>
      <c r="K19" s="95"/>
      <c r="L19" s="147">
        <f>J19</f>
        <v>213270.56999999995</v>
      </c>
      <c r="M19" s="26"/>
      <c r="N19" s="147">
        <f>J19-L19</f>
        <v>0</v>
      </c>
    </row>
    <row r="20" spans="2:14" ht="47.25" customHeight="1" thickTop="1">
      <c r="B20" s="13" t="s">
        <v>13</v>
      </c>
      <c r="C20" s="13"/>
      <c r="D20" s="14">
        <v>4066683.22</v>
      </c>
      <c r="E20" s="14"/>
      <c r="F20" s="15">
        <f>SUM(F17:F19)</f>
        <v>4066683</v>
      </c>
      <c r="G20" s="15"/>
      <c r="H20" s="15">
        <f>SUM(H17:H19)</f>
        <v>3518076.43</v>
      </c>
      <c r="I20" s="15"/>
      <c r="J20" s="14">
        <f>F20-H20</f>
        <v>548606.5699999998</v>
      </c>
      <c r="K20" s="14"/>
      <c r="L20" s="152">
        <f>SUM(L17:L19)</f>
        <v>248606.56999999995</v>
      </c>
      <c r="M20" s="155"/>
      <c r="N20" s="152">
        <f>SUM(N17:N19)</f>
        <v>300000</v>
      </c>
    </row>
    <row r="21" spans="2:14" ht="3" customHeight="1">
      <c r="B21" s="16"/>
      <c r="C21" s="16"/>
      <c r="D21" s="17"/>
      <c r="E21" s="17"/>
      <c r="F21" s="18"/>
      <c r="G21" s="18"/>
      <c r="H21" s="18"/>
      <c r="I21" s="18"/>
      <c r="J21" s="17"/>
      <c r="K21" s="17"/>
      <c r="L21" s="153"/>
      <c r="M21" s="153"/>
      <c r="N21" s="153"/>
    </row>
    <row r="22" spans="2:14" ht="53.25" customHeight="1">
      <c r="B22" s="6" t="s">
        <v>60</v>
      </c>
      <c r="C22" s="6"/>
      <c r="D22" s="7" t="s">
        <v>11</v>
      </c>
      <c r="E22" s="7"/>
      <c r="F22" s="6" t="s">
        <v>3</v>
      </c>
      <c r="G22" s="6"/>
      <c r="H22" s="6" t="s">
        <v>0</v>
      </c>
      <c r="I22" s="6"/>
      <c r="J22" s="7" t="s">
        <v>17</v>
      </c>
      <c r="K22" s="149"/>
      <c r="L22" s="34" t="s">
        <v>23</v>
      </c>
      <c r="M22" s="34"/>
      <c r="N22" s="34" t="s">
        <v>171</v>
      </c>
    </row>
    <row r="23" spans="2:14" ht="33.75" customHeight="1">
      <c r="B23" s="8" t="s">
        <v>7</v>
      </c>
      <c r="C23" s="8"/>
      <c r="D23" s="9"/>
      <c r="E23" s="9"/>
      <c r="F23" s="20">
        <f>62412+49887+68760+29106+30505+62289+108182</f>
        <v>411141</v>
      </c>
      <c r="G23" s="20"/>
      <c r="H23" s="20">
        <f>1375.14+13875.06+25292.16+13910.97+1856.34+2799.01+525+4039.98+2471.73+13860.89+2540.88+4142.85+15776.64+2508.82+4138.42+14927.81+2540.88+4142.86+15472.63</f>
        <v>146198.07</v>
      </c>
      <c r="I23" s="20"/>
      <c r="J23" s="9">
        <f>F23-H23</f>
        <v>264942.93</v>
      </c>
      <c r="K23" s="9"/>
      <c r="L23" s="144">
        <f>J23</f>
        <v>264942.93</v>
      </c>
      <c r="M23" s="26"/>
      <c r="N23" s="144">
        <f>J23-L23</f>
        <v>0</v>
      </c>
    </row>
    <row r="24" spans="2:14" ht="36.75" customHeight="1">
      <c r="B24" s="8" t="s">
        <v>16</v>
      </c>
      <c r="C24" s="8"/>
      <c r="D24" s="95"/>
      <c r="E24" s="95"/>
      <c r="F24" s="99">
        <f>32196+1296+65000</f>
        <v>98492</v>
      </c>
      <c r="G24" s="99"/>
      <c r="H24" s="99">
        <f>4612.09+12291.32+48.46+4657.04+7325.93+9061.19+7774.87+7414.56</f>
        <v>53185.46</v>
      </c>
      <c r="I24" s="99"/>
      <c r="J24" s="95">
        <f>F24-H24</f>
        <v>45306.54</v>
      </c>
      <c r="K24" s="95"/>
      <c r="L24" s="146">
        <f>J24</f>
        <v>45306.54</v>
      </c>
      <c r="M24" s="26"/>
      <c r="N24" s="146">
        <f>J24-L24</f>
        <v>0</v>
      </c>
    </row>
    <row r="25" spans="2:14" ht="40.5" customHeight="1">
      <c r="B25" s="121" t="s">
        <v>161</v>
      </c>
      <c r="C25" s="8"/>
      <c r="D25" s="95"/>
      <c r="E25" s="95"/>
      <c r="F25" s="99">
        <v>208017</v>
      </c>
      <c r="G25" s="99"/>
      <c r="H25" s="99"/>
      <c r="I25" s="99"/>
      <c r="J25" s="95">
        <f>F25-H25</f>
        <v>208017</v>
      </c>
      <c r="K25" s="95"/>
      <c r="L25" s="146">
        <f>J25</f>
        <v>208017</v>
      </c>
      <c r="M25" s="26"/>
      <c r="N25" s="146">
        <f>J25-L25</f>
        <v>0</v>
      </c>
    </row>
    <row r="26" spans="2:14" ht="38.25" customHeight="1" thickBot="1">
      <c r="B26" s="21" t="s">
        <v>6</v>
      </c>
      <c r="C26" s="21"/>
      <c r="D26" s="22">
        <v>717649.98</v>
      </c>
      <c r="E26" s="14"/>
      <c r="F26" s="22">
        <f>SUM(F23:F25)</f>
        <v>717650</v>
      </c>
      <c r="G26" s="15"/>
      <c r="H26" s="23">
        <f>SUM(H23:H25)</f>
        <v>199383.53</v>
      </c>
      <c r="I26" s="15"/>
      <c r="J26" s="23">
        <f>F26-H26</f>
        <v>518266.47</v>
      </c>
      <c r="K26" s="15"/>
      <c r="L26" s="156">
        <f>SUM(L23:L25)</f>
        <v>518266.47</v>
      </c>
      <c r="M26" s="155"/>
      <c r="N26" s="156">
        <f>SUM(N23:N25)</f>
        <v>0</v>
      </c>
    </row>
    <row r="27" spans="2:14" ht="33.75" customHeight="1" thickTop="1">
      <c r="B27" s="24" t="s">
        <v>10</v>
      </c>
      <c r="C27" s="24"/>
      <c r="D27" s="14">
        <f>D26+D20+D15</f>
        <v>23921666</v>
      </c>
      <c r="E27" s="14"/>
      <c r="F27" s="15">
        <f>F26+F20+F15</f>
        <v>23921666</v>
      </c>
      <c r="G27" s="15"/>
      <c r="H27" s="15">
        <f>H26+H20+H15</f>
        <v>4417104.18</v>
      </c>
      <c r="I27" s="15"/>
      <c r="J27" s="15">
        <f>F27-H27</f>
        <v>19504561.82</v>
      </c>
      <c r="K27" s="15"/>
      <c r="L27" s="15">
        <f>L26+L20+L15</f>
        <v>16385228.82</v>
      </c>
      <c r="M27" s="26"/>
      <c r="N27" s="15">
        <f>N26+N20+N15</f>
        <v>3119333</v>
      </c>
    </row>
    <row r="28" spans="2:11" ht="15" customHeight="1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 ht="15.75">
      <c r="B29" s="100" t="s">
        <v>2</v>
      </c>
      <c r="C29" s="25"/>
      <c r="D29" s="9"/>
      <c r="E29" s="9"/>
      <c r="F29" s="25"/>
      <c r="G29" s="25"/>
      <c r="H29" s="25"/>
      <c r="I29" s="25"/>
      <c r="J29" s="9"/>
      <c r="K29" s="9"/>
    </row>
    <row r="30" spans="2:9" ht="15.75">
      <c r="B30" s="184" t="s">
        <v>165</v>
      </c>
      <c r="C30" s="184"/>
      <c r="D30" s="184"/>
      <c r="E30" s="184"/>
      <c r="F30" s="189"/>
      <c r="G30" s="189"/>
      <c r="H30" s="189"/>
      <c r="I30" s="108"/>
    </row>
    <row r="31" spans="2:9" ht="15.75">
      <c r="B31" s="184" t="s">
        <v>163</v>
      </c>
      <c r="C31" s="184"/>
      <c r="D31" s="184"/>
      <c r="E31" s="188"/>
      <c r="F31" s="188"/>
      <c r="G31" s="188"/>
      <c r="H31" s="188"/>
      <c r="I31" s="188"/>
    </row>
    <row r="32" spans="2:9" ht="15.75">
      <c r="B32" s="184"/>
      <c r="C32" s="184"/>
      <c r="D32" s="184"/>
      <c r="E32" s="188"/>
      <c r="F32" s="188"/>
      <c r="G32" s="188"/>
      <c r="H32" s="188"/>
      <c r="I32" s="188"/>
    </row>
    <row r="33" spans="2:9" ht="15.75">
      <c r="B33" s="184"/>
      <c r="C33" s="188"/>
      <c r="D33" s="188"/>
      <c r="E33" s="188"/>
      <c r="F33" s="188"/>
      <c r="G33" s="188"/>
      <c r="H33" s="188"/>
      <c r="I33" s="188"/>
    </row>
    <row r="34" ht="15.75">
      <c r="H34" s="166">
        <f>H27/D27</f>
        <v>0.1846486854218264</v>
      </c>
    </row>
  </sheetData>
  <mergeCells count="7">
    <mergeCell ref="B31:I31"/>
    <mergeCell ref="B32:I32"/>
    <mergeCell ref="B33:I33"/>
    <mergeCell ref="B1:J1"/>
    <mergeCell ref="B3:J3"/>
    <mergeCell ref="D4:F4"/>
    <mergeCell ref="B30:H30"/>
  </mergeCells>
  <printOptions horizontalCentered="1"/>
  <pageMargins left="0.75" right="0.75" top="0.5" bottom="0.5" header="0.5" footer="0.5"/>
  <pageSetup horizontalDpi="600" verticalDpi="600" orientation="portrait" scale="80" r:id="rId3"/>
  <headerFooter alignWithMargins="0">
    <oddFooter>&amp;L&amp;"Tahoma,Regular"&amp;8Prepared by VDEM&amp;C&amp;"Tahoma,Regular"&amp;8&amp;P
&amp;"Tahoma,Italic"Confidential
Governor's Working Papers&amp;R&amp;"Tahoma,Regular"&amp;8Report Date &amp;D
as of February 28, 2006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3" sqref="A3"/>
    </sheetView>
  </sheetViews>
  <sheetFormatPr defaultColWidth="9.00390625" defaultRowHeight="15.75"/>
  <cols>
    <col min="1" max="1" width="16.375" style="135" customWidth="1"/>
    <col min="2" max="2" width="11.875" style="135" customWidth="1"/>
    <col min="3" max="3" width="26.125" style="131" customWidth="1"/>
    <col min="4" max="4" width="13.625" style="135" customWidth="1"/>
    <col min="5" max="5" width="10.875" style="135" customWidth="1"/>
    <col min="6" max="16384" width="9.00390625" style="135" customWidth="1"/>
  </cols>
  <sheetData>
    <row r="1" spans="1:5" s="123" customFormat="1" ht="15">
      <c r="A1" s="132" t="s">
        <v>79</v>
      </c>
      <c r="B1" s="132"/>
      <c r="C1" s="132"/>
      <c r="D1" s="132"/>
      <c r="E1" s="132"/>
    </row>
    <row r="2" spans="1:5" s="123" customFormat="1" ht="15">
      <c r="A2" s="132" t="s">
        <v>80</v>
      </c>
      <c r="B2" s="132"/>
      <c r="C2" s="132"/>
      <c r="D2" s="132"/>
      <c r="E2" s="132"/>
    </row>
    <row r="3" spans="1:5" s="123" customFormat="1" ht="15">
      <c r="A3" s="132" t="s">
        <v>153</v>
      </c>
      <c r="B3" s="132"/>
      <c r="C3" s="132"/>
      <c r="D3" s="132"/>
      <c r="E3" s="132"/>
    </row>
    <row r="4" spans="1:5" ht="6" customHeight="1" thickBot="1">
      <c r="A4" s="134"/>
      <c r="B4" s="134"/>
      <c r="C4" s="124"/>
      <c r="D4" s="134"/>
      <c r="E4" s="134"/>
    </row>
    <row r="5" spans="1:5" ht="15">
      <c r="A5" s="125"/>
      <c r="B5" s="125"/>
      <c r="C5" s="125" t="s">
        <v>81</v>
      </c>
      <c r="D5" s="125"/>
      <c r="E5" s="126"/>
    </row>
    <row r="6" spans="1:5" ht="15.75" thickBot="1">
      <c r="A6" s="127" t="s">
        <v>82</v>
      </c>
      <c r="B6" s="127" t="s">
        <v>83</v>
      </c>
      <c r="C6" s="127" t="s">
        <v>30</v>
      </c>
      <c r="D6" s="128" t="s">
        <v>84</v>
      </c>
      <c r="E6" s="129" t="s">
        <v>85</v>
      </c>
    </row>
    <row r="7" spans="1:5" ht="15">
      <c r="A7" s="113" t="s">
        <v>86</v>
      </c>
      <c r="B7" s="113" t="s">
        <v>87</v>
      </c>
      <c r="C7" s="133" t="s">
        <v>88</v>
      </c>
      <c r="D7" s="113" t="s">
        <v>89</v>
      </c>
      <c r="E7" s="136">
        <v>1</v>
      </c>
    </row>
    <row r="8" spans="1:5" ht="15">
      <c r="A8" s="113" t="s">
        <v>90</v>
      </c>
      <c r="B8" s="113" t="s">
        <v>91</v>
      </c>
      <c r="C8" s="133" t="s">
        <v>88</v>
      </c>
      <c r="D8" s="113" t="s">
        <v>89</v>
      </c>
      <c r="E8" s="136">
        <v>1</v>
      </c>
    </row>
    <row r="9" spans="1:5" ht="15">
      <c r="A9" s="113" t="s">
        <v>116</v>
      </c>
      <c r="B9" s="113" t="s">
        <v>117</v>
      </c>
      <c r="C9" s="113"/>
      <c r="D9" s="133" t="s">
        <v>89</v>
      </c>
      <c r="E9" s="136">
        <v>1</v>
      </c>
    </row>
    <row r="10" spans="1:5" ht="15">
      <c r="A10" s="113" t="s">
        <v>96</v>
      </c>
      <c r="B10" s="113" t="s">
        <v>97</v>
      </c>
      <c r="C10" s="133" t="s">
        <v>98</v>
      </c>
      <c r="D10" s="113" t="s">
        <v>89</v>
      </c>
      <c r="E10" s="136">
        <v>1</v>
      </c>
    </row>
    <row r="11" spans="1:5" ht="15">
      <c r="A11" s="113" t="s">
        <v>106</v>
      </c>
      <c r="B11" s="113" t="s">
        <v>107</v>
      </c>
      <c r="C11" s="133" t="s">
        <v>108</v>
      </c>
      <c r="D11" s="113" t="s">
        <v>89</v>
      </c>
      <c r="E11" s="136">
        <v>1</v>
      </c>
    </row>
    <row r="12" spans="1:5" ht="15">
      <c r="A12" s="133" t="s">
        <v>112</v>
      </c>
      <c r="B12" s="133"/>
      <c r="C12" s="133" t="s">
        <v>113</v>
      </c>
      <c r="D12" s="133" t="s">
        <v>89</v>
      </c>
      <c r="E12" s="136">
        <v>1</v>
      </c>
    </row>
    <row r="13" spans="1:5" ht="15">
      <c r="A13" s="133" t="s">
        <v>109</v>
      </c>
      <c r="B13" s="133" t="s">
        <v>110</v>
      </c>
      <c r="C13" s="133" t="s">
        <v>111</v>
      </c>
      <c r="D13" s="133" t="s">
        <v>89</v>
      </c>
      <c r="E13" s="138">
        <v>0.5</v>
      </c>
    </row>
    <row r="14" spans="1:5" s="137" customFormat="1" ht="15">
      <c r="A14" s="113" t="s">
        <v>114</v>
      </c>
      <c r="B14" s="113" t="s">
        <v>115</v>
      </c>
      <c r="C14" s="133" t="s">
        <v>108</v>
      </c>
      <c r="D14" s="133" t="s">
        <v>101</v>
      </c>
      <c r="E14" s="136">
        <v>1</v>
      </c>
    </row>
    <row r="15" spans="1:5" ht="15">
      <c r="A15" s="113" t="s">
        <v>99</v>
      </c>
      <c r="B15" s="113" t="s">
        <v>100</v>
      </c>
      <c r="C15" s="133" t="s">
        <v>172</v>
      </c>
      <c r="D15" s="133" t="s">
        <v>101</v>
      </c>
      <c r="E15" s="136">
        <v>1</v>
      </c>
    </row>
    <row r="16" spans="1:5" ht="15">
      <c r="A16" s="113" t="s">
        <v>158</v>
      </c>
      <c r="B16" s="113" t="s">
        <v>159</v>
      </c>
      <c r="C16" s="133" t="s">
        <v>160</v>
      </c>
      <c r="D16" s="113" t="s">
        <v>157</v>
      </c>
      <c r="E16" s="136">
        <v>1</v>
      </c>
    </row>
    <row r="17" spans="1:5" ht="15">
      <c r="A17" s="113" t="s">
        <v>154</v>
      </c>
      <c r="B17" s="113" t="s">
        <v>155</v>
      </c>
      <c r="C17" s="133" t="s">
        <v>156</v>
      </c>
      <c r="D17" s="133" t="s">
        <v>157</v>
      </c>
      <c r="E17" s="136">
        <v>1</v>
      </c>
    </row>
    <row r="18" spans="1:5" ht="15">
      <c r="A18" s="113" t="s">
        <v>122</v>
      </c>
      <c r="B18" s="113" t="s">
        <v>123</v>
      </c>
      <c r="C18" s="113"/>
      <c r="D18" s="113" t="s">
        <v>95</v>
      </c>
      <c r="E18" s="136">
        <v>1</v>
      </c>
    </row>
    <row r="19" spans="1:5" ht="15">
      <c r="A19" s="113" t="s">
        <v>124</v>
      </c>
      <c r="B19" s="113" t="s">
        <v>125</v>
      </c>
      <c r="C19" s="113"/>
      <c r="D19" s="113" t="s">
        <v>95</v>
      </c>
      <c r="E19" s="136">
        <v>1</v>
      </c>
    </row>
    <row r="20" spans="1:5" ht="15">
      <c r="A20" s="113" t="s">
        <v>92</v>
      </c>
      <c r="B20" s="113" t="s">
        <v>93</v>
      </c>
      <c r="C20" s="133" t="s">
        <v>94</v>
      </c>
      <c r="D20" s="113" t="s">
        <v>95</v>
      </c>
      <c r="E20" s="136">
        <v>1</v>
      </c>
    </row>
    <row r="21" spans="1:5" ht="15">
      <c r="A21" s="113" t="s">
        <v>120</v>
      </c>
      <c r="B21" s="113" t="s">
        <v>121</v>
      </c>
      <c r="C21" s="113"/>
      <c r="D21" s="113" t="s">
        <v>95</v>
      </c>
      <c r="E21" s="136">
        <v>1</v>
      </c>
    </row>
    <row r="22" spans="1:5" ht="15">
      <c r="A22" s="113" t="s">
        <v>103</v>
      </c>
      <c r="B22" s="113" t="s">
        <v>104</v>
      </c>
      <c r="C22" s="133" t="s">
        <v>105</v>
      </c>
      <c r="D22" s="113" t="s">
        <v>95</v>
      </c>
      <c r="E22" s="136">
        <v>1</v>
      </c>
    </row>
    <row r="23" spans="1:5" ht="15">
      <c r="A23" s="113" t="s">
        <v>118</v>
      </c>
      <c r="B23" s="113" t="s">
        <v>119</v>
      </c>
      <c r="C23" s="113"/>
      <c r="D23" s="113" t="s">
        <v>95</v>
      </c>
      <c r="E23" s="136">
        <v>1</v>
      </c>
    </row>
    <row r="24" spans="1:5" ht="15">
      <c r="A24" s="113" t="s">
        <v>41</v>
      </c>
      <c r="B24" s="113"/>
      <c r="C24" s="133" t="s">
        <v>102</v>
      </c>
      <c r="D24" s="113" t="s">
        <v>95</v>
      </c>
      <c r="E24" s="136">
        <v>1</v>
      </c>
    </row>
    <row r="25" s="139" customFormat="1" ht="15">
      <c r="C25" s="130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&amp;L&amp;"Arial,Regular"&amp;9Prepared by VDEM&amp;C&amp;"Arial,Regular"&amp;9&amp;P
&amp;"Arial,Italic"Confidential
Governor's Working Papers&amp;R&amp;"Arial,Regular"&amp;9Report Date  &amp;D
as of February 28,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cadkins</dc:creator>
  <cp:keywords/>
  <dc:description/>
  <cp:lastModifiedBy>cgrier</cp:lastModifiedBy>
  <cp:lastPrinted>2006-03-13T21:29:24Z</cp:lastPrinted>
  <dcterms:created xsi:type="dcterms:W3CDTF">2005-08-26T15:02:05Z</dcterms:created>
  <dcterms:modified xsi:type="dcterms:W3CDTF">2006-03-28T14:19:24Z</dcterms:modified>
  <cp:category/>
  <cp:version/>
  <cp:contentType/>
  <cp:contentStatus/>
</cp:coreProperties>
</file>