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'Sheet1'!$A$1:$AC$299</definedName>
    <definedName name="_xlnm.Print_Area" localSheetId="1">'Sheet2'!$A$4:$F$138</definedName>
    <definedName name="_xlnm.Print_Titles" localSheetId="0">'Sheet1'!$1:$3</definedName>
    <definedName name="_xlnm.Print_Titles" localSheetId="1">'Sheet2'!$1:$3</definedName>
  </definedNames>
  <calcPr fullCalcOnLoad="1"/>
</workbook>
</file>

<file path=xl/comments1.xml><?xml version="1.0" encoding="utf-8"?>
<comments xmlns="http://schemas.openxmlformats.org/spreadsheetml/2006/main">
  <authors>
    <author>cadkins</author>
  </authors>
  <commentList>
    <comment ref="I19" authorId="0">
      <text>
        <r>
          <rPr>
            <b/>
            <sz val="8"/>
            <rFont val="Tahoma"/>
            <family val="0"/>
          </rPr>
          <t>cadkins:</t>
        </r>
        <r>
          <rPr>
            <sz val="8"/>
            <rFont val="Tahoma"/>
            <family val="0"/>
          </rPr>
          <t xml:space="preserve">
925152K from Local Share for the benefit of Local Health Departments</t>
        </r>
      </text>
    </comment>
    <comment ref="I13" authorId="0">
      <text>
        <r>
          <rPr>
            <b/>
            <sz val="8"/>
            <rFont val="Tahoma"/>
            <family val="0"/>
          </rPr>
          <t>cadkins:</t>
        </r>
        <r>
          <rPr>
            <sz val="8"/>
            <rFont val="Tahoma"/>
            <family val="0"/>
          </rPr>
          <t xml:space="preserve">
Reserved for Office of Commonwealth Preparedness</t>
        </r>
      </text>
    </comment>
    <comment ref="L132" authorId="0">
      <text>
        <r>
          <rPr>
            <b/>
            <sz val="8"/>
            <rFont val="Tahoma"/>
            <family val="0"/>
          </rPr>
          <t>cadkins:</t>
        </r>
        <r>
          <rPr>
            <sz val="8"/>
            <rFont val="Tahoma"/>
            <family val="0"/>
          </rPr>
          <t xml:space="preserve">
20K addl funds for Jamestown Celebration</t>
        </r>
      </text>
    </comment>
    <comment ref="L197" authorId="0">
      <text>
        <r>
          <rPr>
            <b/>
            <sz val="8"/>
            <rFont val="Tahoma"/>
            <family val="0"/>
          </rPr>
          <t>cadkins:</t>
        </r>
        <r>
          <rPr>
            <sz val="8"/>
            <rFont val="Tahoma"/>
            <family val="0"/>
          </rPr>
          <t xml:space="preserve">
20K addl funds for Jamestown Celebration</t>
        </r>
      </text>
    </comment>
    <comment ref="L201" authorId="0">
      <text>
        <r>
          <rPr>
            <b/>
            <sz val="8"/>
            <rFont val="Tahoma"/>
            <family val="0"/>
          </rPr>
          <t>cadkins:</t>
        </r>
        <r>
          <rPr>
            <sz val="8"/>
            <rFont val="Tahoma"/>
            <family val="0"/>
          </rPr>
          <t xml:space="preserve">
20K addl funds for Jamestown Celebration</t>
        </r>
      </text>
    </comment>
    <comment ref="L12" authorId="0">
      <text>
        <r>
          <rPr>
            <b/>
            <sz val="8"/>
            <rFont val="Tahoma"/>
            <family val="0"/>
          </rPr>
          <t>cadkins:</t>
        </r>
        <r>
          <rPr>
            <sz val="8"/>
            <rFont val="Tahoma"/>
            <family val="0"/>
          </rPr>
          <t xml:space="preserve">
100.5K for T &amp; E
50K for Stakeholders Meetings
86.6K ICS &amp; NIMS
50K Citizen Training
60K Fusion Center
717.65K for M &amp; A</t>
        </r>
      </text>
    </comment>
    <comment ref="L226" authorId="0">
      <text>
        <r>
          <rPr>
            <b/>
            <sz val="8"/>
            <rFont val="Tahoma"/>
            <family val="0"/>
          </rPr>
          <t>cadkins:</t>
        </r>
        <r>
          <rPr>
            <sz val="8"/>
            <rFont val="Tahoma"/>
            <family val="0"/>
          </rPr>
          <t xml:space="preserve">
200K for Virginia Modeling &amp; Simulation Center</t>
        </r>
      </text>
    </comment>
    <comment ref="L13" authorId="0">
      <text>
        <r>
          <rPr>
            <b/>
            <sz val="8"/>
            <rFont val="Tahoma"/>
            <family val="0"/>
          </rPr>
          <t>cadkins:</t>
        </r>
        <r>
          <rPr>
            <sz val="8"/>
            <rFont val="Tahoma"/>
            <family val="0"/>
          </rPr>
          <t xml:space="preserve">
2,819,333 Reserved for Local Competetive
390K reserved
300K Reserved for T &amp; E
35336K Reserved</t>
        </r>
      </text>
    </comment>
  </commentList>
</comments>
</file>

<file path=xl/sharedStrings.xml><?xml version="1.0" encoding="utf-8"?>
<sst xmlns="http://schemas.openxmlformats.org/spreadsheetml/2006/main" count="462" uniqueCount="324">
  <si>
    <t xml:space="preserve">GRANTS    </t>
  </si>
  <si>
    <t>RECIPIENTS</t>
  </si>
  <si>
    <t xml:space="preserve"> </t>
  </si>
  <si>
    <t>Total All State Agencies</t>
  </si>
  <si>
    <t>Total All Auth/Legal</t>
  </si>
  <si>
    <t>Total All Private Sector</t>
  </si>
  <si>
    <t>Bedford County</t>
  </si>
  <si>
    <t>Richmond City</t>
  </si>
  <si>
    <t>Henrico County</t>
  </si>
  <si>
    <t>Accomack County</t>
  </si>
  <si>
    <t>Albemarle County</t>
  </si>
  <si>
    <t>Alexandria City</t>
  </si>
  <si>
    <t>Alleghany County</t>
  </si>
  <si>
    <t>Amelia County</t>
  </si>
  <si>
    <t>Amherst County</t>
  </si>
  <si>
    <t>Appomattox County</t>
  </si>
  <si>
    <t>Arlington County</t>
  </si>
  <si>
    <t>Augusta County</t>
  </si>
  <si>
    <t>Bath County</t>
  </si>
  <si>
    <t>Bedford City</t>
  </si>
  <si>
    <t>Bland County</t>
  </si>
  <si>
    <t>Botetourt County</t>
  </si>
  <si>
    <t>Bristol County</t>
  </si>
  <si>
    <t>Brunswick County</t>
  </si>
  <si>
    <t>Buchanan County</t>
  </si>
  <si>
    <t>Buckingham County</t>
  </si>
  <si>
    <t>Buena Vista City</t>
  </si>
  <si>
    <t>Campbell County</t>
  </si>
  <si>
    <t>Caroline County</t>
  </si>
  <si>
    <t>Carroll County</t>
  </si>
  <si>
    <t>Charles City County</t>
  </si>
  <si>
    <t>Charlotte County</t>
  </si>
  <si>
    <t>Charlottesville City</t>
  </si>
  <si>
    <t>Chesapeake City</t>
  </si>
  <si>
    <t>Chesterfield County</t>
  </si>
  <si>
    <t>Clarke County</t>
  </si>
  <si>
    <t>Colonial Heights City</t>
  </si>
  <si>
    <t>Covington City</t>
  </si>
  <si>
    <t>Craig County</t>
  </si>
  <si>
    <t>Culpepper County</t>
  </si>
  <si>
    <t>Cumberland County</t>
  </si>
  <si>
    <t>Danville City</t>
  </si>
  <si>
    <t>Dickenson County</t>
  </si>
  <si>
    <t>Dinwiddie County</t>
  </si>
  <si>
    <t>Emporia City</t>
  </si>
  <si>
    <t>Essex County</t>
  </si>
  <si>
    <t>Fairfax City</t>
  </si>
  <si>
    <t>Fairfax County</t>
  </si>
  <si>
    <t>Falls Church City</t>
  </si>
  <si>
    <t>Fauquier County</t>
  </si>
  <si>
    <t>Floyd County</t>
  </si>
  <si>
    <t>Fluvanna County</t>
  </si>
  <si>
    <t>Franklin City</t>
  </si>
  <si>
    <t>Franklin County</t>
  </si>
  <si>
    <t>Frederick County</t>
  </si>
  <si>
    <t>Fredericksburg City</t>
  </si>
  <si>
    <t>Galax City</t>
  </si>
  <si>
    <t>Giles County</t>
  </si>
  <si>
    <t>Gloucester County</t>
  </si>
  <si>
    <t>Goochland County</t>
  </si>
  <si>
    <t>Grayson County</t>
  </si>
  <si>
    <t>Greene County</t>
  </si>
  <si>
    <t>Greensville County</t>
  </si>
  <si>
    <t>Halifax County</t>
  </si>
  <si>
    <t>Hampton City</t>
  </si>
  <si>
    <t>Hanover County</t>
  </si>
  <si>
    <t>Harrisonburg City</t>
  </si>
  <si>
    <t>Henry County</t>
  </si>
  <si>
    <t>Highland County</t>
  </si>
  <si>
    <t>Hopewell City</t>
  </si>
  <si>
    <t>Isle of Wright County</t>
  </si>
  <si>
    <t>James City County</t>
  </si>
  <si>
    <t>King and Queen County</t>
  </si>
  <si>
    <t>King George County</t>
  </si>
  <si>
    <t>King William County</t>
  </si>
  <si>
    <t>Lancaster County</t>
  </si>
  <si>
    <t>Lee County</t>
  </si>
  <si>
    <t>Lexington City</t>
  </si>
  <si>
    <t>Loudoun County</t>
  </si>
  <si>
    <t>Louisa County</t>
  </si>
  <si>
    <t>Lunenburg County</t>
  </si>
  <si>
    <t>Lynchburg City</t>
  </si>
  <si>
    <t>Madison County</t>
  </si>
  <si>
    <t>Manassas City</t>
  </si>
  <si>
    <t>Manassas Park City</t>
  </si>
  <si>
    <t>Martinsville City</t>
  </si>
  <si>
    <t>Mathews County</t>
  </si>
  <si>
    <t>Mecklenburg County</t>
  </si>
  <si>
    <t>Middlesex County</t>
  </si>
  <si>
    <t>Montgomery County</t>
  </si>
  <si>
    <t>Nelson County</t>
  </si>
  <si>
    <t>New Kent County</t>
  </si>
  <si>
    <t>Newport News City</t>
  </si>
  <si>
    <t>Norfolk City</t>
  </si>
  <si>
    <t>Northampton County</t>
  </si>
  <si>
    <t>Northumberland County</t>
  </si>
  <si>
    <t>Norton City</t>
  </si>
  <si>
    <t>Nottoway County</t>
  </si>
  <si>
    <t>Orange County</t>
  </si>
  <si>
    <t>Page County</t>
  </si>
  <si>
    <t>Patrick County</t>
  </si>
  <si>
    <t>Petersburg City</t>
  </si>
  <si>
    <t>Pittsylvania County</t>
  </si>
  <si>
    <t>Poquoson City</t>
  </si>
  <si>
    <t>Portsmouth City</t>
  </si>
  <si>
    <t>Powhatan County</t>
  </si>
  <si>
    <t>Prince Edward County</t>
  </si>
  <si>
    <t>Prince George County</t>
  </si>
  <si>
    <t>Prince William County</t>
  </si>
  <si>
    <t>Pulaski County</t>
  </si>
  <si>
    <t>Radford City</t>
  </si>
  <si>
    <t>Rappahannock County</t>
  </si>
  <si>
    <t>Richmond County</t>
  </si>
  <si>
    <t>Roanoke City</t>
  </si>
  <si>
    <t>Roanoke County</t>
  </si>
  <si>
    <t>Rockbridge County</t>
  </si>
  <si>
    <t>Rockingham County</t>
  </si>
  <si>
    <t>Russell County</t>
  </si>
  <si>
    <t>Salem City</t>
  </si>
  <si>
    <t>Scott County</t>
  </si>
  <si>
    <t>Shenandoah County</t>
  </si>
  <si>
    <t>Smyth County</t>
  </si>
  <si>
    <t>Southampton County</t>
  </si>
  <si>
    <t>Spotsylvania County</t>
  </si>
  <si>
    <t>Stafford County</t>
  </si>
  <si>
    <t>Staunton City</t>
  </si>
  <si>
    <t>Suffolk City</t>
  </si>
  <si>
    <t>Surry County</t>
  </si>
  <si>
    <t>Sussex County</t>
  </si>
  <si>
    <t>Tazewell County</t>
  </si>
  <si>
    <t>Warren County</t>
  </si>
  <si>
    <t>Washington County</t>
  </si>
  <si>
    <t>Waynesboro City</t>
  </si>
  <si>
    <t>Westmoreland County</t>
  </si>
  <si>
    <t>Williamsburg City</t>
  </si>
  <si>
    <t>Winchester City</t>
  </si>
  <si>
    <t>Wise County</t>
  </si>
  <si>
    <t>Wythe County</t>
  </si>
  <si>
    <t>York County</t>
  </si>
  <si>
    <t>Shenandoah University</t>
  </si>
  <si>
    <t>Virginia Commonwealth University</t>
  </si>
  <si>
    <t>Port of Richmond</t>
  </si>
  <si>
    <t>Virginia Port Authority</t>
  </si>
  <si>
    <t>Atlantic Energy, Inc.</t>
  </si>
  <si>
    <t>BASF Corporation</t>
  </si>
  <si>
    <t>Mid Atlantic Terminals, LLC</t>
  </si>
  <si>
    <t>Virginia Marine Resources Commission</t>
  </si>
  <si>
    <t xml:space="preserve">STATE AGENCIES </t>
  </si>
  <si>
    <t xml:space="preserve">AUTHORITIES/LEGAL </t>
  </si>
  <si>
    <t xml:space="preserve">PRIVATE SECTOR </t>
  </si>
  <si>
    <t>STATE TOTAL</t>
  </si>
  <si>
    <t>Total For Recipient</t>
  </si>
  <si>
    <t>Total All Jurisdictions</t>
  </si>
  <si>
    <t xml:space="preserve">JURISDICTIONS </t>
  </si>
  <si>
    <t>*MMRS - divided total number of jurisdictions within each MMRS to obtain average</t>
  </si>
  <si>
    <t xml:space="preserve">**** Included in the Jurisdictions totals are the Competitive Grants both Individual and Cooperative (Competitive grants are divided by the number of jurisdictions involved to obtain awarded amount) </t>
  </si>
  <si>
    <t>Virginia Beach City</t>
  </si>
  <si>
    <t>Per          Capita</t>
  </si>
  <si>
    <t>**UASI</t>
  </si>
  <si>
    <r>
      <t>**</t>
    </r>
    <r>
      <rPr>
        <b/>
        <i/>
        <sz val="10"/>
        <rFont val="Times New Roman"/>
        <family val="1"/>
      </rPr>
      <t>UASI</t>
    </r>
    <r>
      <rPr>
        <i/>
        <sz val="9"/>
        <rFont val="Times New Roman"/>
        <family val="1"/>
      </rPr>
      <t xml:space="preserve"> - </t>
    </r>
    <r>
      <rPr>
        <b/>
        <i/>
        <u val="single"/>
        <sz val="9"/>
        <rFont val="Times New Roman"/>
        <family val="1"/>
      </rPr>
      <t>NCR</t>
    </r>
    <r>
      <rPr>
        <i/>
        <sz val="9"/>
        <rFont val="Times New Roman"/>
        <family val="1"/>
      </rPr>
      <t xml:space="preserve"> - made up of the following jurisdictions:  Alexandria; Arlington; Fairfax City; Fairfax County; Falls Church; Loudoun; Manassas; Manassas Park; Prince William.   </t>
    </r>
    <r>
      <rPr>
        <b/>
        <i/>
        <u val="single"/>
        <sz val="9"/>
        <rFont val="Times New Roman"/>
        <family val="1"/>
      </rPr>
      <t>Richmond/Urban</t>
    </r>
    <r>
      <rPr>
        <i/>
        <sz val="9"/>
        <rFont val="Times New Roman"/>
        <family val="1"/>
      </rPr>
      <t xml:space="preserve"> - made up of the following jurisdictions:  Richmond City, Chesterfield, Hanover, Henrico, Goochland   </t>
    </r>
    <r>
      <rPr>
        <b/>
        <i/>
        <u val="single"/>
        <sz val="9"/>
        <rFont val="Times New Roman"/>
        <family val="1"/>
      </rPr>
      <t>VRE</t>
    </r>
    <r>
      <rPr>
        <i/>
        <sz val="9"/>
        <rFont val="Times New Roman"/>
        <family val="1"/>
      </rPr>
      <t xml:space="preserve"> - Virginia Railway Express</t>
    </r>
  </si>
  <si>
    <t xml:space="preserve">             1.   NCR</t>
  </si>
  <si>
    <t xml:space="preserve">             2.   Richmond - Urban</t>
  </si>
  <si>
    <t xml:space="preserve">           2.  Newport News</t>
  </si>
  <si>
    <t xml:space="preserve">           3. Front Royal</t>
  </si>
  <si>
    <t xml:space="preserve">           4. Portsmouth</t>
  </si>
  <si>
    <t>*** Port Security Grants equal FY 2002 $5,902,730, FY 2003 $5,050,858 and FY 2004 $1,681,280  totaling $12,634,868</t>
  </si>
  <si>
    <t>Potomac Riverboat Company, LLC</t>
  </si>
  <si>
    <t>Allied Terminals, Inc.</t>
  </si>
  <si>
    <t xml:space="preserve">           2.  Chesapeake</t>
  </si>
  <si>
    <t>International Matex Tank Terminals</t>
  </si>
  <si>
    <t>APM Terminals North America, Inc.</t>
  </si>
  <si>
    <t>Chesapeake Bay Bridge Tunnel</t>
  </si>
  <si>
    <t>VA Dept. Agriculture &amp; Consumer Services</t>
  </si>
  <si>
    <t xml:space="preserve">VA Dept. Environmental Quality </t>
  </si>
  <si>
    <t>VA Dept. Conservation &amp; Recreation</t>
  </si>
  <si>
    <t>VA Dept. Game &amp; Inland Fisheries</t>
  </si>
  <si>
    <t>VA Dept. Fire Programs</t>
  </si>
  <si>
    <t>VA Dept. Criminal Justice</t>
  </si>
  <si>
    <t>VA Dept. Motor Vehicles</t>
  </si>
  <si>
    <t>VA Dept. of Transportation</t>
  </si>
  <si>
    <t>Virginia Military Institute</t>
  </si>
  <si>
    <t>VA Marine Resources</t>
  </si>
  <si>
    <t>VA Dept. Emerg Management (Pass Thru)</t>
  </si>
  <si>
    <t>VA Dept. Emerg Management (Internal)</t>
  </si>
  <si>
    <t>State Homeland Security Grant -  2004</t>
  </si>
  <si>
    <r>
      <t xml:space="preserve">           </t>
    </r>
    <r>
      <rPr>
        <i/>
        <sz val="9"/>
        <rFont val="Times New Roman"/>
        <family val="1"/>
      </rPr>
      <t>1.  Norfolk</t>
    </r>
  </si>
  <si>
    <t>STATE COLLEGES &amp; UNIVERSITIES</t>
  </si>
  <si>
    <t>Christopher Newport University</t>
  </si>
  <si>
    <t>George Mason University</t>
  </si>
  <si>
    <t>James Madison University</t>
  </si>
  <si>
    <t>Longwood College</t>
  </si>
  <si>
    <t>Mary Washington College</t>
  </si>
  <si>
    <t>Norfolk State University</t>
  </si>
  <si>
    <t>Old Dominion University</t>
  </si>
  <si>
    <t>Radford University</t>
  </si>
  <si>
    <t>Richard Bland College</t>
  </si>
  <si>
    <t>The College of William and Mary</t>
  </si>
  <si>
    <t>University of Virginia</t>
  </si>
  <si>
    <t>University of Virginia's College at Wise</t>
  </si>
  <si>
    <t>Virginia Polytechnic &amp; State University</t>
  </si>
  <si>
    <t>Virginia State University</t>
  </si>
  <si>
    <t xml:space="preserve">Blue Ridge Community College </t>
  </si>
  <si>
    <t>Central Virginia Community College</t>
  </si>
  <si>
    <t>Dabney S. Lancaster Community College</t>
  </si>
  <si>
    <t>Danville Community College</t>
  </si>
  <si>
    <t>Eastern Shore Community College</t>
  </si>
  <si>
    <t>Germanna Community College</t>
  </si>
  <si>
    <t>J. Sargeant Reynolds Community College</t>
  </si>
  <si>
    <t>John Tyler Community College</t>
  </si>
  <si>
    <t>Lord Fairfax Community College</t>
  </si>
  <si>
    <t>Mountain Empire Community College</t>
  </si>
  <si>
    <t>New River Community College</t>
  </si>
  <si>
    <t>Northern Virginia Community College</t>
  </si>
  <si>
    <t>Patrick Henry Community College</t>
  </si>
  <si>
    <t>Paul D. Camp Community College</t>
  </si>
  <si>
    <t>Piedmont Virginia Community College</t>
  </si>
  <si>
    <t>Rappahannock Community College</t>
  </si>
  <si>
    <t>Southside Virginia Community College</t>
  </si>
  <si>
    <t>Southwest Virginia Community College</t>
  </si>
  <si>
    <t>Thomas Nelson Community College</t>
  </si>
  <si>
    <t>Tidewater Community College</t>
  </si>
  <si>
    <t>Virginia Highlands Community College</t>
  </si>
  <si>
    <t>Virginia Western Community College</t>
  </si>
  <si>
    <t>Total All State Colleges &amp; Universities</t>
  </si>
  <si>
    <t>Charlottesville-Albemarle Airport</t>
  </si>
  <si>
    <t>Lynchburg Regional Airport</t>
  </si>
  <si>
    <t xml:space="preserve">Ronald Regan Washington National Airport (DCA) </t>
  </si>
  <si>
    <t>Washington Dulles International Airport (IAD)</t>
  </si>
  <si>
    <t>Newport News/Williamsburg International Airport</t>
  </si>
  <si>
    <t>Norfolk International Airport</t>
  </si>
  <si>
    <t>Richmond International Airport</t>
  </si>
  <si>
    <t>Roanoke Regional Airport</t>
  </si>
  <si>
    <t>Shenandoah Valley Regional Airport</t>
  </si>
  <si>
    <t>COMMERCIAL AIRPORTS</t>
  </si>
  <si>
    <t>Total Commercial Airports</t>
  </si>
  <si>
    <t>Wytheville Community College</t>
  </si>
  <si>
    <t>PLANNING DISTRICTS</t>
  </si>
  <si>
    <t>Northern Neck Planning District</t>
  </si>
  <si>
    <t>Hampton Roads Planning District</t>
  </si>
  <si>
    <t>Total All Planning Districts</t>
  </si>
  <si>
    <t>Apex Oil Company, Inc.</t>
  </si>
  <si>
    <t>Center Terminal Company - Norfolk</t>
  </si>
  <si>
    <t>State Equip Grant     1999 - 2002</t>
  </si>
  <si>
    <t>Total</t>
  </si>
  <si>
    <t>State Homeland Security Grant -  2003 I</t>
  </si>
  <si>
    <t>State Homeland Security Grant -   2003 II</t>
  </si>
  <si>
    <t>VA Dept. Health</t>
  </si>
  <si>
    <t>Central Shenandoah Valley PDC</t>
  </si>
  <si>
    <t>VA Information Tech. Agency</t>
  </si>
  <si>
    <t>VA Capitol Police</t>
  </si>
  <si>
    <t>VA Military Affairs</t>
  </si>
  <si>
    <t>VA Railway Express (VRE)</t>
  </si>
  <si>
    <t>VA State Police</t>
  </si>
  <si>
    <t>VA Dept. General Services</t>
  </si>
  <si>
    <t>VA Supreme Court</t>
  </si>
  <si>
    <t>VA Hospital &amp; Healthcare Association</t>
  </si>
  <si>
    <t>VA Dept. Mental Health, Mental Retardation</t>
  </si>
  <si>
    <t>VA Dept. Alcholic Beverage Control</t>
  </si>
  <si>
    <t>VA Museum of Fine Arts</t>
  </si>
  <si>
    <t>VA Dept. Education</t>
  </si>
  <si>
    <t>Alexandria City Health District</t>
  </si>
  <si>
    <t>Alleghany Health District</t>
  </si>
  <si>
    <t>Arlington Health District</t>
  </si>
  <si>
    <t>Central Shenandoah Health District</t>
  </si>
  <si>
    <t>Central Virginia Health District</t>
  </si>
  <si>
    <t>Chesapeake Health District</t>
  </si>
  <si>
    <t>Chesterfield Health Distrct</t>
  </si>
  <si>
    <t>Crater Health District</t>
  </si>
  <si>
    <t>Cumberland Plateau Health District</t>
  </si>
  <si>
    <t>Eastern Shore Health District</t>
  </si>
  <si>
    <t>Fairfax Health District</t>
  </si>
  <si>
    <t>Hampton Health District</t>
  </si>
  <si>
    <t>Hanover Health District</t>
  </si>
  <si>
    <t>Henrico Health District</t>
  </si>
  <si>
    <t>Lenowisco Health Distrct</t>
  </si>
  <si>
    <t>Lord Fairfax Health District</t>
  </si>
  <si>
    <t>Loudoun Health District</t>
  </si>
  <si>
    <t>Mount Rogers Health District</t>
  </si>
  <si>
    <t>New River Health District</t>
  </si>
  <si>
    <t>Norfolk City Health District</t>
  </si>
  <si>
    <t>Peninsula Health District</t>
  </si>
  <si>
    <t>Piedmont Health District</t>
  </si>
  <si>
    <t>Pittsylvania/Danville Health District</t>
  </si>
  <si>
    <t>Portsmouth Health District</t>
  </si>
  <si>
    <t>Prince William Health District</t>
  </si>
  <si>
    <t>Rappahannock Health District</t>
  </si>
  <si>
    <t>Rappahannock/Rapidan Health District</t>
  </si>
  <si>
    <t>Richmond City Health District</t>
  </si>
  <si>
    <t>Roanoke City Health District</t>
  </si>
  <si>
    <t>Southside Health District</t>
  </si>
  <si>
    <t>Thomas Jefferson Health District</t>
  </si>
  <si>
    <t>Three Rivers Health District</t>
  </si>
  <si>
    <t>Virginia Beach Health District</t>
  </si>
  <si>
    <t>West Piedmont Health District</t>
  </si>
  <si>
    <t>Western Tidewater Health District</t>
  </si>
  <si>
    <t>2005 Homeland Security Grant Program</t>
  </si>
  <si>
    <t>State Homeland Security Program -  2005</t>
  </si>
  <si>
    <t>Law Enforcement Terrorism Prevention Program 2005</t>
  </si>
  <si>
    <t>Citizen Corps Program        2005</t>
  </si>
  <si>
    <t>Emergency Management Performance Grant      (EMPG)       2005</t>
  </si>
  <si>
    <t>Metro Medical Response System      (MMRS)     2005</t>
  </si>
  <si>
    <t>Buffer Zone Protection Program     (2005)</t>
  </si>
  <si>
    <t>VA Dept. Aviation</t>
  </si>
  <si>
    <t>Interoperability Coordinator</t>
  </si>
  <si>
    <t>VA Dept. Forestry</t>
  </si>
  <si>
    <r>
      <t xml:space="preserve">****State Equip Grant     1999 - 2002   </t>
    </r>
    <r>
      <rPr>
        <b/>
        <i/>
        <sz val="9"/>
        <rFont val="Times New Roman"/>
        <family val="1"/>
      </rPr>
      <t>CFDA 97.004</t>
    </r>
  </si>
  <si>
    <r>
      <t xml:space="preserve">Assist to Firefighters   2000 - 2004   </t>
    </r>
    <r>
      <rPr>
        <b/>
        <i/>
        <sz val="9"/>
        <rFont val="Times New Roman"/>
        <family val="1"/>
      </rPr>
      <t xml:space="preserve">CFDA 97.044  </t>
    </r>
    <r>
      <rPr>
        <b/>
        <sz val="9"/>
        <rFont val="Times New Roman"/>
        <family val="1"/>
      </rPr>
      <t xml:space="preserve"> </t>
    </r>
  </si>
  <si>
    <r>
      <t xml:space="preserve">NLD    OJP      2001        </t>
    </r>
    <r>
      <rPr>
        <b/>
        <i/>
        <sz val="9"/>
        <rFont val="Times New Roman"/>
        <family val="1"/>
      </rPr>
      <t>CFDA 16.006</t>
    </r>
  </si>
  <si>
    <r>
      <t xml:space="preserve">Direct Pass-Thru        2002        </t>
    </r>
    <r>
      <rPr>
        <b/>
        <i/>
        <sz val="9"/>
        <rFont val="Times New Roman"/>
        <family val="1"/>
      </rPr>
      <t>Congress-ional Appro-priation</t>
    </r>
  </si>
  <si>
    <r>
      <t xml:space="preserve">EMPG     1999- 2004       </t>
    </r>
    <r>
      <rPr>
        <b/>
        <i/>
        <sz val="9"/>
        <rFont val="Times New Roman"/>
        <family val="1"/>
      </rPr>
      <t>CFDA 97.042</t>
    </r>
  </si>
  <si>
    <r>
      <t xml:space="preserve">State Homeland Security Grant - I  2003       </t>
    </r>
    <r>
      <rPr>
        <b/>
        <i/>
        <sz val="9"/>
        <rFont val="Times New Roman"/>
        <family val="1"/>
      </rPr>
      <t>CFDA 97.004</t>
    </r>
  </si>
  <si>
    <r>
      <t xml:space="preserve">State Homeland Security Grant - I I 2003       </t>
    </r>
    <r>
      <rPr>
        <b/>
        <i/>
        <sz val="9"/>
        <rFont val="Times New Roman"/>
        <family val="1"/>
      </rPr>
      <t>CFDA 97.004</t>
    </r>
  </si>
  <si>
    <r>
      <t xml:space="preserve">State Homeland Security Grant -  2004     </t>
    </r>
    <r>
      <rPr>
        <b/>
        <i/>
        <sz val="9"/>
        <rFont val="Times New Roman"/>
        <family val="1"/>
      </rPr>
      <t>CFDA 97.073</t>
    </r>
  </si>
  <si>
    <r>
      <t xml:space="preserve">Law Enforcement Terrorism Prevention Grant 2004   </t>
    </r>
    <r>
      <rPr>
        <b/>
        <i/>
        <sz val="9"/>
        <rFont val="Times New Roman"/>
        <family val="1"/>
      </rPr>
      <t>CFDA 97.074</t>
    </r>
  </si>
  <si>
    <r>
      <t xml:space="preserve">Citizen Corps/CERT Grant 2002 - 2004        </t>
    </r>
    <r>
      <rPr>
        <b/>
        <i/>
        <sz val="9"/>
        <rFont val="Times New Roman"/>
        <family val="1"/>
      </rPr>
      <t xml:space="preserve">CFDA 97.053 &amp; 97.054 </t>
    </r>
  </si>
  <si>
    <r>
      <t xml:space="preserve">OJP           COPS          O/T  2003   </t>
    </r>
    <r>
      <rPr>
        <b/>
        <i/>
        <sz val="9"/>
        <rFont val="Times New Roman"/>
        <family val="1"/>
      </rPr>
      <t>CFDA 16.710</t>
    </r>
  </si>
  <si>
    <r>
      <t xml:space="preserve">Medical     Reserve Corps 2003   </t>
    </r>
    <r>
      <rPr>
        <b/>
        <i/>
        <sz val="9"/>
        <rFont val="Times New Roman"/>
        <family val="1"/>
      </rPr>
      <t xml:space="preserve">CFDA 93.008 </t>
    </r>
    <r>
      <rPr>
        <b/>
        <sz val="9"/>
        <rFont val="Times New Roman"/>
        <family val="1"/>
      </rPr>
      <t xml:space="preserve"> </t>
    </r>
  </si>
  <si>
    <r>
      <t xml:space="preserve">HRSA     2003  - 2004     </t>
    </r>
    <r>
      <rPr>
        <b/>
        <i/>
        <sz val="9"/>
        <rFont val="Times New Roman"/>
        <family val="1"/>
      </rPr>
      <t>CFDA 93.003</t>
    </r>
  </si>
  <si>
    <r>
      <t xml:space="preserve">*MMRS     </t>
    </r>
    <r>
      <rPr>
        <b/>
        <i/>
        <sz val="9"/>
        <rFont val="Times New Roman"/>
        <family val="1"/>
      </rPr>
      <t>CFDA 97.071</t>
    </r>
  </si>
  <si>
    <r>
      <t xml:space="preserve">CDC          Bio-Terrorism 2004 - 2005   </t>
    </r>
    <r>
      <rPr>
        <b/>
        <i/>
        <sz val="9"/>
        <rFont val="Times New Roman"/>
        <family val="1"/>
      </rPr>
      <t>CFDA 93.283</t>
    </r>
  </si>
  <si>
    <r>
      <t xml:space="preserve">Bio-Terrorism Training and Curriculum (BTCDP) 2003       </t>
    </r>
    <r>
      <rPr>
        <i/>
        <sz val="9"/>
        <rFont val="Times New Roman"/>
        <family val="1"/>
      </rPr>
      <t>CFDA 93.996</t>
    </r>
    <r>
      <rPr>
        <sz val="9"/>
        <rFont val="Times New Roman"/>
        <family val="1"/>
      </rPr>
      <t xml:space="preserve"> </t>
    </r>
  </si>
  <si>
    <r>
      <t xml:space="preserve">National Fire Academy Edu/Train 2000 - 2003   </t>
    </r>
    <r>
      <rPr>
        <b/>
        <i/>
        <sz val="9"/>
        <rFont val="Times New Roman"/>
        <family val="1"/>
      </rPr>
      <t>CFDA 97.018 &amp; 97.019</t>
    </r>
  </si>
  <si>
    <r>
      <t xml:space="preserve">***Port Sec Grant             2002 - 2004   </t>
    </r>
    <r>
      <rPr>
        <b/>
        <i/>
        <sz val="9"/>
        <rFont val="Times New Roman"/>
        <family val="1"/>
      </rPr>
      <t>CFDA 20.420</t>
    </r>
  </si>
  <si>
    <r>
      <t xml:space="preserve">**UASI        2003 - 2005   </t>
    </r>
    <r>
      <rPr>
        <b/>
        <i/>
        <sz val="9"/>
        <rFont val="Times New Roman"/>
        <family val="1"/>
      </rPr>
      <t>CFDA 97.008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</si>
</sst>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"/>
    <numFmt numFmtId="166" formatCode="&quot;$&quot;#,##0.0000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20">
    <font>
      <sz val="12"/>
      <name val="Times New Roman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b/>
      <i/>
      <u val="single"/>
      <sz val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" fillId="3" borderId="0" xfId="0" applyFont="1" applyFill="1" applyBorder="1" applyAlignment="1">
      <alignment/>
    </xf>
    <xf numFmtId="0" fontId="8" fillId="0" borderId="0" xfId="0" applyFont="1" applyBorder="1" applyAlignment="1">
      <alignment/>
    </xf>
    <xf numFmtId="167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167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67" fontId="0" fillId="0" borderId="2" xfId="0" applyNumberFormat="1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0" fontId="7" fillId="0" borderId="0" xfId="0" applyFont="1" applyFill="1" applyBorder="1" applyAlignment="1">
      <alignment/>
    </xf>
    <xf numFmtId="3" fontId="12" fillId="0" borderId="4" xfId="0" applyNumberFormat="1" applyFont="1" applyBorder="1" applyAlignment="1">
      <alignment/>
    </xf>
    <xf numFmtId="164" fontId="7" fillId="0" borderId="4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12" fillId="0" borderId="5" xfId="0" applyNumberFormat="1" applyFont="1" applyBorder="1" applyAlignment="1">
      <alignment/>
    </xf>
    <xf numFmtId="3" fontId="12" fillId="0" borderId="5" xfId="0" applyNumberFormat="1" applyFont="1" applyBorder="1" applyAlignment="1">
      <alignment/>
    </xf>
    <xf numFmtId="164" fontId="7" fillId="0" borderId="5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12" fillId="0" borderId="5" xfId="0" applyNumberFormat="1" applyFont="1" applyBorder="1" applyAlignment="1" quotePrefix="1">
      <alignment/>
    </xf>
    <xf numFmtId="3" fontId="12" fillId="0" borderId="6" xfId="0" applyNumberFormat="1" applyFont="1" applyBorder="1" applyAlignment="1">
      <alignment/>
    </xf>
    <xf numFmtId="164" fontId="7" fillId="0" borderId="6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7" fillId="0" borderId="4" xfId="0" applyFont="1" applyBorder="1" applyAlignment="1">
      <alignment/>
    </xf>
    <xf numFmtId="3" fontId="12" fillId="0" borderId="0" xfId="0" applyNumberFormat="1" applyFont="1" applyBorder="1" applyAlignment="1">
      <alignment/>
    </xf>
    <xf numFmtId="167" fontId="6" fillId="0" borderId="5" xfId="0" applyNumberFormat="1" applyFont="1" applyBorder="1" applyAlignment="1">
      <alignment/>
    </xf>
    <xf numFmtId="0" fontId="12" fillId="0" borderId="5" xfId="0" applyFont="1" applyBorder="1" applyAlignment="1">
      <alignment/>
    </xf>
    <xf numFmtId="3" fontId="12" fillId="0" borderId="5" xfId="0" applyNumberFormat="1" applyFont="1" applyBorder="1" applyAlignment="1">
      <alignment horizontal="right"/>
    </xf>
    <xf numFmtId="0" fontId="12" fillId="0" borderId="7" xfId="0" applyNumberFormat="1" applyFont="1" applyBorder="1" applyAlignment="1" quotePrefix="1">
      <alignment/>
    </xf>
    <xf numFmtId="0" fontId="12" fillId="0" borderId="1" xfId="0" applyFont="1" applyBorder="1" applyAlignment="1">
      <alignment/>
    </xf>
    <xf numFmtId="3" fontId="12" fillId="0" borderId="8" xfId="0" applyNumberFormat="1" applyFont="1" applyBorder="1" applyAlignment="1">
      <alignment/>
    </xf>
    <xf numFmtId="0" fontId="12" fillId="0" borderId="6" xfId="0" applyFont="1" applyBorder="1" applyAlignment="1">
      <alignment/>
    </xf>
    <xf numFmtId="167" fontId="6" fillId="0" borderId="6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0" fontId="6" fillId="0" borderId="5" xfId="0" applyFont="1" applyBorder="1" applyAlignment="1">
      <alignment wrapText="1"/>
    </xf>
    <xf numFmtId="0" fontId="12" fillId="0" borderId="4" xfId="0" applyFont="1" applyBorder="1" applyAlignment="1">
      <alignment/>
    </xf>
    <xf numFmtId="3" fontId="12" fillId="0" borderId="6" xfId="0" applyNumberFormat="1" applyFont="1" applyFill="1" applyBorder="1" applyAlignment="1">
      <alignment/>
    </xf>
    <xf numFmtId="0" fontId="7" fillId="0" borderId="9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0" xfId="0" applyFont="1" applyBorder="1" applyAlignment="1">
      <alignment/>
    </xf>
    <xf numFmtId="3" fontId="12" fillId="0" borderId="1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167" fontId="1" fillId="0" borderId="0" xfId="0" applyNumberFormat="1" applyFont="1" applyBorder="1" applyAlignment="1">
      <alignment/>
    </xf>
    <xf numFmtId="0" fontId="14" fillId="0" borderId="5" xfId="0" applyFont="1" applyBorder="1" applyAlignment="1">
      <alignment/>
    </xf>
    <xf numFmtId="3" fontId="14" fillId="0" borderId="5" xfId="0" applyNumberFormat="1" applyFont="1" applyBorder="1" applyAlignment="1">
      <alignment/>
    </xf>
    <xf numFmtId="0" fontId="13" fillId="0" borderId="5" xfId="0" applyFont="1" applyBorder="1" applyAlignment="1">
      <alignment/>
    </xf>
    <xf numFmtId="0" fontId="15" fillId="0" borderId="11" xfId="0" applyFont="1" applyBorder="1" applyAlignment="1">
      <alignment horizontal="left"/>
    </xf>
    <xf numFmtId="167" fontId="1" fillId="0" borderId="1" xfId="0" applyNumberFormat="1" applyFont="1" applyBorder="1" applyAlignment="1">
      <alignment/>
    </xf>
    <xf numFmtId="0" fontId="15" fillId="0" borderId="12" xfId="0" applyFont="1" applyBorder="1" applyAlignment="1">
      <alignment horizontal="left"/>
    </xf>
    <xf numFmtId="0" fontId="6" fillId="0" borderId="1" xfId="0" applyFont="1" applyBorder="1" applyAlignment="1">
      <alignment/>
    </xf>
    <xf numFmtId="3" fontId="12" fillId="0" borderId="1" xfId="0" applyNumberFormat="1" applyFont="1" applyBorder="1" applyAlignment="1">
      <alignment/>
    </xf>
    <xf numFmtId="0" fontId="6" fillId="0" borderId="1" xfId="0" applyFont="1" applyBorder="1" applyAlignment="1">
      <alignment wrapText="1"/>
    </xf>
    <xf numFmtId="0" fontId="7" fillId="0" borderId="13" xfId="0" applyFont="1" applyBorder="1" applyAlignment="1">
      <alignment/>
    </xf>
    <xf numFmtId="3" fontId="7" fillId="0" borderId="13" xfId="0" applyNumberFormat="1" applyFont="1" applyBorder="1" applyAlignment="1">
      <alignment/>
    </xf>
    <xf numFmtId="0" fontId="6" fillId="0" borderId="6" xfId="0" applyFont="1" applyBorder="1" applyAlignment="1">
      <alignment wrapText="1"/>
    </xf>
    <xf numFmtId="167" fontId="1" fillId="0" borderId="2" xfId="0" applyNumberFormat="1" applyFont="1" applyBorder="1" applyAlignment="1">
      <alignment/>
    </xf>
    <xf numFmtId="0" fontId="7" fillId="0" borderId="14" xfId="0" applyFont="1" applyBorder="1" applyAlignment="1">
      <alignment/>
    </xf>
    <xf numFmtId="3" fontId="7" fillId="0" borderId="14" xfId="0" applyNumberFormat="1" applyFont="1" applyBorder="1" applyAlignment="1">
      <alignment/>
    </xf>
    <xf numFmtId="164" fontId="7" fillId="0" borderId="14" xfId="0" applyNumberFormat="1" applyFont="1" applyBorder="1" applyAlignment="1">
      <alignment/>
    </xf>
    <xf numFmtId="0" fontId="12" fillId="0" borderId="14" xfId="0" applyFont="1" applyBorder="1" applyAlignment="1">
      <alignment/>
    </xf>
    <xf numFmtId="167" fontId="6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3" fontId="11" fillId="0" borderId="1" xfId="0" applyNumberFormat="1" applyFont="1" applyBorder="1" applyAlignment="1">
      <alignment/>
    </xf>
    <xf numFmtId="0" fontId="12" fillId="0" borderId="2" xfId="0" applyFont="1" applyBorder="1" applyAlignment="1">
      <alignment/>
    </xf>
    <xf numFmtId="3" fontId="12" fillId="0" borderId="2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12" fillId="0" borderId="6" xfId="0" applyNumberFormat="1" applyFont="1" applyBorder="1" applyAlignment="1">
      <alignment/>
    </xf>
    <xf numFmtId="0" fontId="6" fillId="4" borderId="17" xfId="0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5" borderId="18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12" fillId="0" borderId="5" xfId="0" applyFont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indent="1"/>
    </xf>
    <xf numFmtId="0" fontId="12" fillId="0" borderId="5" xfId="0" applyFont="1" applyBorder="1" applyAlignment="1">
      <alignment horizontal="left"/>
    </xf>
    <xf numFmtId="0" fontId="6" fillId="0" borderId="8" xfId="0" applyFont="1" applyBorder="1" applyAlignment="1">
      <alignment/>
    </xf>
    <xf numFmtId="164" fontId="6" fillId="0" borderId="5" xfId="0" applyNumberFormat="1" applyFont="1" applyBorder="1" applyAlignment="1">
      <alignment/>
    </xf>
    <xf numFmtId="164" fontId="1" fillId="2" borderId="0" xfId="0" applyNumberFormat="1" applyFont="1" applyFill="1" applyBorder="1" applyAlignment="1">
      <alignment/>
    </xf>
    <xf numFmtId="164" fontId="1" fillId="0" borderId="1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64" fontId="13" fillId="0" borderId="5" xfId="0" applyNumberFormat="1" applyFont="1" applyBorder="1" applyAlignment="1">
      <alignment/>
    </xf>
    <xf numFmtId="164" fontId="6" fillId="0" borderId="2" xfId="0" applyNumberFormat="1" applyFont="1" applyBorder="1" applyAlignment="1">
      <alignment/>
    </xf>
    <xf numFmtId="164" fontId="16" fillId="0" borderId="0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4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167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19" xfId="0" applyFont="1" applyBorder="1" applyAlignment="1">
      <alignment/>
    </xf>
    <xf numFmtId="164" fontId="3" fillId="0" borderId="0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164" fontId="13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3" fontId="0" fillId="2" borderId="3" xfId="0" applyNumberFormat="1" applyFill="1" applyBorder="1" applyAlignment="1">
      <alignment/>
    </xf>
    <xf numFmtId="3" fontId="0" fillId="0" borderId="3" xfId="0" applyNumberFormat="1" applyBorder="1" applyAlignment="1">
      <alignment/>
    </xf>
    <xf numFmtId="0" fontId="15" fillId="0" borderId="5" xfId="0" applyFont="1" applyBorder="1" applyAlignment="1">
      <alignment horizontal="left"/>
    </xf>
    <xf numFmtId="167" fontId="1" fillId="0" borderId="5" xfId="0" applyNumberFormat="1" applyFont="1" applyBorder="1" applyAlignment="1">
      <alignment/>
    </xf>
    <xf numFmtId="0" fontId="0" fillId="0" borderId="5" xfId="0" applyBorder="1" applyAlignment="1">
      <alignment/>
    </xf>
    <xf numFmtId="164" fontId="7" fillId="0" borderId="20" xfId="0" applyNumberFormat="1" applyFont="1" applyFill="1" applyBorder="1" applyAlignment="1">
      <alignment/>
    </xf>
    <xf numFmtId="164" fontId="7" fillId="0" borderId="21" xfId="0" applyNumberFormat="1" applyFont="1" applyFill="1" applyBorder="1" applyAlignment="1">
      <alignment/>
    </xf>
    <xf numFmtId="6" fontId="17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6" fontId="17" fillId="0" borderId="6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6" fontId="17" fillId="0" borderId="0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22" xfId="0" applyBorder="1" applyAlignment="1">
      <alignment/>
    </xf>
    <xf numFmtId="164" fontId="12" fillId="0" borderId="5" xfId="0" applyNumberFormat="1" applyFont="1" applyBorder="1" applyAlignment="1">
      <alignment/>
    </xf>
    <xf numFmtId="0" fontId="6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/>
    </xf>
    <xf numFmtId="0" fontId="8" fillId="0" borderId="5" xfId="0" applyFont="1" applyBorder="1" applyAlignment="1">
      <alignment/>
    </xf>
    <xf numFmtId="0" fontId="12" fillId="0" borderId="5" xfId="0" applyFont="1" applyFill="1" applyBorder="1" applyAlignment="1">
      <alignment/>
    </xf>
    <xf numFmtId="0" fontId="6" fillId="0" borderId="5" xfId="0" applyNumberFormat="1" applyFont="1" applyBorder="1" applyAlignment="1">
      <alignment/>
    </xf>
    <xf numFmtId="0" fontId="8" fillId="0" borderId="5" xfId="0" applyNumberFormat="1" applyFont="1" applyBorder="1" applyAlignment="1">
      <alignment/>
    </xf>
    <xf numFmtId="167" fontId="7" fillId="0" borderId="4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7" fillId="0" borderId="5" xfId="0" applyFont="1" applyBorder="1" applyAlignment="1">
      <alignment wrapText="1"/>
    </xf>
    <xf numFmtId="0" fontId="6" fillId="0" borderId="5" xfId="0" applyNumberFormat="1" applyFont="1" applyBorder="1" applyAlignment="1" quotePrefix="1">
      <alignment/>
    </xf>
    <xf numFmtId="0" fontId="7" fillId="0" borderId="5" xfId="0" applyNumberFormat="1" applyFont="1" applyBorder="1" applyAlignment="1">
      <alignment/>
    </xf>
    <xf numFmtId="0" fontId="12" fillId="0" borderId="5" xfId="0" applyFont="1" applyBorder="1" applyAlignment="1">
      <alignment wrapText="1"/>
    </xf>
    <xf numFmtId="0" fontId="12" fillId="0" borderId="0" xfId="0" applyFont="1" applyBorder="1" applyAlignment="1">
      <alignment wrapText="1"/>
    </xf>
    <xf numFmtId="3" fontId="6" fillId="0" borderId="5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 quotePrefix="1">
      <alignment horizontal="center" vertical="center" wrapText="1"/>
    </xf>
    <xf numFmtId="0" fontId="12" fillId="0" borderId="18" xfId="0" applyFont="1" applyBorder="1" applyAlignment="1">
      <alignment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 quotePrefix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11" xfId="0" applyFont="1" applyFill="1" applyBorder="1" applyAlignment="1">
      <alignment horizontal="center" wrapText="1"/>
    </xf>
    <xf numFmtId="0" fontId="12" fillId="0" borderId="5" xfId="0" applyFont="1" applyBorder="1" applyAlignment="1">
      <alignment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 quotePrefix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6" fillId="0" borderId="5" xfId="0" applyNumberFormat="1" applyFont="1" applyBorder="1" applyAlignment="1" quotePrefix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12" fillId="0" borderId="18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0</xdr:row>
      <xdr:rowOff>209550</xdr:rowOff>
    </xdr:from>
    <xdr:to>
      <xdr:col>0</xdr:col>
      <xdr:colOff>1543050</xdr:colOff>
      <xdr:row>0</xdr:row>
      <xdr:rowOff>209550</xdr:rowOff>
    </xdr:to>
    <xdr:sp>
      <xdr:nvSpPr>
        <xdr:cNvPr id="1" name="Line 18"/>
        <xdr:cNvSpPr>
          <a:spLocks/>
        </xdr:cNvSpPr>
      </xdr:nvSpPr>
      <xdr:spPr>
        <a:xfrm>
          <a:off x="933450" y="2095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1228725</xdr:colOff>
      <xdr:row>1</xdr:row>
      <xdr:rowOff>142875</xdr:rowOff>
    </xdr:from>
    <xdr:to>
      <xdr:col>0</xdr:col>
      <xdr:colOff>1228725</xdr:colOff>
      <xdr:row>2</xdr:row>
      <xdr:rowOff>0</xdr:rowOff>
    </xdr:to>
    <xdr:sp>
      <xdr:nvSpPr>
        <xdr:cNvPr id="2" name="Line 21"/>
        <xdr:cNvSpPr>
          <a:spLocks/>
        </xdr:cNvSpPr>
      </xdr:nvSpPr>
      <xdr:spPr>
        <a:xfrm>
          <a:off x="1228725" y="3524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0</xdr:row>
      <xdr:rowOff>333375</xdr:rowOff>
    </xdr:from>
    <xdr:to>
      <xdr:col>0</xdr:col>
      <xdr:colOff>1543050</xdr:colOff>
      <xdr:row>0</xdr:row>
      <xdr:rowOff>333375</xdr:rowOff>
    </xdr:to>
    <xdr:sp>
      <xdr:nvSpPr>
        <xdr:cNvPr id="1" name="Line 1"/>
        <xdr:cNvSpPr>
          <a:spLocks/>
        </xdr:cNvSpPr>
      </xdr:nvSpPr>
      <xdr:spPr>
        <a:xfrm>
          <a:off x="933450" y="3333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1228725</xdr:colOff>
      <xdr:row>1</xdr:row>
      <xdr:rowOff>142875</xdr:rowOff>
    </xdr:from>
    <xdr:to>
      <xdr:col>0</xdr:col>
      <xdr:colOff>1228725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228725" y="7715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03"/>
  <sheetViews>
    <sheetView tabSelected="1" workbookViewId="0" topLeftCell="A1">
      <pane xSplit="1" topLeftCell="B1" activePane="topRight" state="frozen"/>
      <selection pane="topLeft" activeCell="A1" sqref="A1"/>
      <selection pane="topRight" activeCell="AD287" sqref="AD287"/>
    </sheetView>
  </sheetViews>
  <sheetFormatPr defaultColWidth="9.00390625" defaultRowHeight="15.75"/>
  <cols>
    <col min="1" max="1" width="27.50390625" style="1" customWidth="1"/>
    <col min="2" max="2" width="8.875" style="1" customWidth="1"/>
    <col min="3" max="3" width="9.00390625" style="1" customWidth="1"/>
    <col min="4" max="4" width="7.875" style="1" customWidth="1"/>
    <col min="5" max="5" width="8.625" style="1" customWidth="1"/>
    <col min="6" max="6" width="8.875" style="1" customWidth="1"/>
    <col min="7" max="8" width="9.25390625" style="1" customWidth="1"/>
    <col min="9" max="9" width="8.875" style="6" customWidth="1"/>
    <col min="10" max="10" width="9.75390625" style="1" customWidth="1"/>
    <col min="11" max="11" width="9.875" style="1" customWidth="1"/>
    <col min="12" max="12" width="9.125" style="1" customWidth="1"/>
    <col min="13" max="13" width="9.375" style="1" customWidth="1"/>
    <col min="14" max="14" width="7.625" style="1" customWidth="1"/>
    <col min="15" max="15" width="9.625" style="1" customWidth="1"/>
    <col min="16" max="16" width="8.25390625" style="1" customWidth="1"/>
    <col min="17" max="18" width="8.125" style="1" customWidth="1"/>
    <col min="19" max="19" width="8.00390625" style="1" customWidth="1"/>
    <col min="20" max="20" width="8.375" style="1" customWidth="1"/>
    <col min="21" max="21" width="7.75390625" style="1" customWidth="1"/>
    <col min="22" max="22" width="8.375" style="1" customWidth="1"/>
    <col min="23" max="24" width="8.125" style="1" customWidth="1"/>
    <col min="25" max="25" width="8.625" style="1" customWidth="1"/>
    <col min="26" max="26" width="9.25390625" style="1" customWidth="1"/>
    <col min="27" max="27" width="9.50390625" style="10" customWidth="1"/>
    <col min="28" max="28" width="9.00390625" style="1" hidden="1" customWidth="1"/>
    <col min="29" max="29" width="6.875" style="3" customWidth="1"/>
    <col min="30" max="30" width="17.125" style="1" bestFit="1" customWidth="1"/>
    <col min="31" max="31" width="16.125" style="1" bestFit="1" customWidth="1"/>
    <col min="32" max="16384" width="9.00390625" style="1" customWidth="1"/>
  </cols>
  <sheetData>
    <row r="1" spans="1:32" s="24" customFormat="1" ht="16.5" customHeight="1">
      <c r="A1" s="83" t="s">
        <v>0</v>
      </c>
      <c r="B1" s="155" t="s">
        <v>305</v>
      </c>
      <c r="C1" s="147" t="s">
        <v>306</v>
      </c>
      <c r="D1" s="155" t="s">
        <v>307</v>
      </c>
      <c r="E1" s="146" t="s">
        <v>308</v>
      </c>
      <c r="F1" s="147" t="s">
        <v>309</v>
      </c>
      <c r="G1" s="147" t="s">
        <v>310</v>
      </c>
      <c r="H1" s="147" t="s">
        <v>311</v>
      </c>
      <c r="I1" s="144" t="s">
        <v>312</v>
      </c>
      <c r="J1" s="146" t="s">
        <v>313</v>
      </c>
      <c r="K1" s="146" t="s">
        <v>314</v>
      </c>
      <c r="L1" s="151" t="s">
        <v>295</v>
      </c>
      <c r="M1" s="151"/>
      <c r="N1" s="151"/>
      <c r="O1" s="151"/>
      <c r="P1" s="152"/>
      <c r="Q1" s="148" t="s">
        <v>301</v>
      </c>
      <c r="R1" s="158" t="s">
        <v>315</v>
      </c>
      <c r="S1" s="148" t="s">
        <v>316</v>
      </c>
      <c r="T1" s="148" t="s">
        <v>317</v>
      </c>
      <c r="U1" s="148" t="s">
        <v>318</v>
      </c>
      <c r="V1" s="148" t="s">
        <v>319</v>
      </c>
      <c r="W1" s="148" t="s">
        <v>320</v>
      </c>
      <c r="X1" s="148" t="s">
        <v>321</v>
      </c>
      <c r="Y1" s="148" t="s">
        <v>322</v>
      </c>
      <c r="Z1" s="148" t="s">
        <v>323</v>
      </c>
      <c r="AA1" s="154" t="s">
        <v>151</v>
      </c>
      <c r="AB1" s="140"/>
      <c r="AC1" s="150" t="s">
        <v>157</v>
      </c>
      <c r="AD1" s="141"/>
      <c r="AE1" s="141"/>
      <c r="AF1" s="141"/>
    </row>
    <row r="2" spans="1:32" s="24" customFormat="1" ht="75.75" customHeight="1">
      <c r="A2" s="86" t="s">
        <v>1</v>
      </c>
      <c r="B2" s="156"/>
      <c r="C2" s="157"/>
      <c r="D2" s="156"/>
      <c r="E2" s="157"/>
      <c r="F2" s="157"/>
      <c r="G2" s="145"/>
      <c r="H2" s="145"/>
      <c r="I2" s="145"/>
      <c r="J2" s="145"/>
      <c r="K2" s="145"/>
      <c r="L2" s="142" t="s">
        <v>296</v>
      </c>
      <c r="M2" s="129" t="s">
        <v>297</v>
      </c>
      <c r="N2" s="129" t="s">
        <v>298</v>
      </c>
      <c r="O2" s="129" t="s">
        <v>299</v>
      </c>
      <c r="P2" s="143" t="s">
        <v>300</v>
      </c>
      <c r="Q2" s="153"/>
      <c r="R2" s="153"/>
      <c r="S2" s="149"/>
      <c r="T2" s="149"/>
      <c r="U2" s="149"/>
      <c r="V2" s="149"/>
      <c r="W2" s="149"/>
      <c r="X2" s="149"/>
      <c r="Y2" s="149"/>
      <c r="Z2" s="149"/>
      <c r="AA2" s="150"/>
      <c r="AB2" s="140"/>
      <c r="AC2" s="150"/>
      <c r="AD2" s="141"/>
      <c r="AE2" s="141"/>
      <c r="AF2" s="141"/>
    </row>
    <row r="3" spans="1:29" ht="6.75" customHeight="1">
      <c r="A3" s="2"/>
      <c r="B3" s="2"/>
      <c r="C3" s="2"/>
      <c r="D3" s="2"/>
      <c r="E3" s="2"/>
      <c r="F3" s="2"/>
      <c r="G3" s="2"/>
      <c r="H3" s="2"/>
      <c r="I3" s="11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94"/>
      <c r="AC3" s="12"/>
    </row>
    <row r="4" spans="1:29" ht="15.75">
      <c r="A4" s="50" t="s">
        <v>147</v>
      </c>
      <c r="B4" s="20"/>
      <c r="C4" s="20"/>
      <c r="D4" s="20"/>
      <c r="E4" s="20"/>
      <c r="F4" s="20"/>
      <c r="G4" s="20"/>
      <c r="H4" s="20"/>
      <c r="I4" s="115"/>
      <c r="J4" s="20"/>
      <c r="K4" s="20"/>
      <c r="L4" s="35"/>
      <c r="M4" s="35"/>
      <c r="N4" s="35"/>
      <c r="O4" s="35"/>
      <c r="P4" s="35"/>
      <c r="Q4" s="35"/>
      <c r="R4" s="20"/>
      <c r="S4" s="20"/>
      <c r="T4" s="20"/>
      <c r="U4" s="20"/>
      <c r="V4" s="20"/>
      <c r="W4" s="20"/>
      <c r="X4" s="20"/>
      <c r="Y4" s="20"/>
      <c r="Z4" s="20"/>
      <c r="AA4" s="95"/>
      <c r="AB4" s="7"/>
      <c r="AC4" s="19"/>
    </row>
    <row r="5" spans="1:29" ht="15.75">
      <c r="A5" s="26" t="s">
        <v>249</v>
      </c>
      <c r="B5" s="27">
        <v>55189</v>
      </c>
      <c r="C5" s="27"/>
      <c r="D5" s="27"/>
      <c r="E5" s="27"/>
      <c r="F5" s="27"/>
      <c r="G5" s="27"/>
      <c r="H5" s="27">
        <f>100000+26361</f>
        <v>126361</v>
      </c>
      <c r="I5" s="27"/>
      <c r="J5" s="27">
        <v>379000</v>
      </c>
      <c r="K5" s="27"/>
      <c r="L5" s="27"/>
      <c r="M5" s="27"/>
      <c r="N5" s="27"/>
      <c r="O5" s="27"/>
      <c r="P5" s="27"/>
      <c r="Q5" s="27"/>
      <c r="R5" s="27">
        <v>44972</v>
      </c>
      <c r="S5" s="27"/>
      <c r="T5" s="27"/>
      <c r="U5" s="27"/>
      <c r="V5" s="27"/>
      <c r="W5" s="27"/>
      <c r="X5" s="27"/>
      <c r="Y5" s="27"/>
      <c r="Z5" s="27"/>
      <c r="AA5" s="28">
        <f aca="true" t="shared" si="0" ref="AA5:AA65">SUM(B5:Z5)</f>
        <v>605522</v>
      </c>
      <c r="AB5" s="37"/>
      <c r="AC5" s="29"/>
    </row>
    <row r="6" spans="1:29" ht="15.75">
      <c r="A6" s="26" t="s">
        <v>172</v>
      </c>
      <c r="B6" s="27"/>
      <c r="C6" s="27"/>
      <c r="D6" s="27"/>
      <c r="E6" s="27"/>
      <c r="F6" s="27"/>
      <c r="G6" s="27">
        <v>56700</v>
      </c>
      <c r="H6" s="27"/>
      <c r="I6" s="27">
        <v>76850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8">
        <f t="shared" si="0"/>
        <v>133550</v>
      </c>
      <c r="AB6" s="37"/>
      <c r="AC6" s="29"/>
    </row>
    <row r="7" spans="1:29" ht="15.75">
      <c r="A7" s="26" t="s">
        <v>302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>
        <v>500000</v>
      </c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8">
        <f t="shared" si="0"/>
        <v>500000</v>
      </c>
      <c r="AB7" s="37"/>
      <c r="AC7" s="29"/>
    </row>
    <row r="8" spans="1:29" ht="15.75">
      <c r="A8" s="26" t="s">
        <v>257</v>
      </c>
      <c r="B8" s="27"/>
      <c r="C8" s="27"/>
      <c r="D8" s="27"/>
      <c r="E8" s="27"/>
      <c r="F8" s="27"/>
      <c r="G8" s="27"/>
      <c r="H8" s="27">
        <v>4292</v>
      </c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8">
        <f t="shared" si="0"/>
        <v>4292</v>
      </c>
      <c r="AB8" s="37"/>
      <c r="AC8" s="29"/>
    </row>
    <row r="9" spans="1:29" ht="15.75">
      <c r="A9" s="26" t="s">
        <v>174</v>
      </c>
      <c r="B9" s="27">
        <v>139487</v>
      </c>
      <c r="C9" s="27"/>
      <c r="D9" s="27"/>
      <c r="E9" s="27"/>
      <c r="F9" s="27"/>
      <c r="G9" s="27">
        <v>32513</v>
      </c>
      <c r="H9" s="27"/>
      <c r="I9" s="27">
        <v>60000</v>
      </c>
      <c r="J9" s="27"/>
      <c r="K9" s="27"/>
      <c r="L9" s="27">
        <v>26000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8">
        <f t="shared" si="0"/>
        <v>258000</v>
      </c>
      <c r="AB9" s="37"/>
      <c r="AC9" s="29"/>
    </row>
    <row r="10" spans="1:29" ht="15.75">
      <c r="A10" s="26" t="s">
        <v>177</v>
      </c>
      <c r="B10" s="27"/>
      <c r="C10" s="27"/>
      <c r="D10" s="27"/>
      <c r="E10" s="27"/>
      <c r="F10" s="27"/>
      <c r="G10" s="27">
        <v>229800</v>
      </c>
      <c r="H10" s="27"/>
      <c r="I10" s="27">
        <v>165000</v>
      </c>
      <c r="J10" s="27">
        <v>269760</v>
      </c>
      <c r="K10" s="27"/>
      <c r="L10" s="27">
        <v>94500</v>
      </c>
      <c r="M10" s="27">
        <v>2328756</v>
      </c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8">
        <f t="shared" si="0"/>
        <v>3087816</v>
      </c>
      <c r="AB10" s="37"/>
      <c r="AC10" s="29"/>
    </row>
    <row r="11" spans="1:29" ht="15.75">
      <c r="A11" s="26" t="s">
        <v>259</v>
      </c>
      <c r="B11" s="27"/>
      <c r="C11" s="27"/>
      <c r="D11" s="27"/>
      <c r="E11" s="27"/>
      <c r="F11" s="27"/>
      <c r="G11" s="27"/>
      <c r="H11" s="27">
        <v>300000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8">
        <f t="shared" si="0"/>
        <v>300000</v>
      </c>
      <c r="AB11" s="37"/>
      <c r="AC11" s="29"/>
    </row>
    <row r="12" spans="1:29" ht="15.75">
      <c r="A12" s="30" t="s">
        <v>183</v>
      </c>
      <c r="B12" s="27">
        <v>1570042</v>
      </c>
      <c r="C12" s="27"/>
      <c r="D12" s="27"/>
      <c r="E12" s="27"/>
      <c r="F12" s="27">
        <v>8747792</v>
      </c>
      <c r="G12" s="27">
        <f>683439+2231000</f>
        <v>2914439</v>
      </c>
      <c r="H12" s="27">
        <f>174160</f>
        <v>174160</v>
      </c>
      <c r="I12" s="27">
        <f>1064500</f>
        <v>1064500</v>
      </c>
      <c r="J12" s="27"/>
      <c r="K12" s="27">
        <f>156200+116865+97020</f>
        <v>370085</v>
      </c>
      <c r="L12" s="27">
        <f>1500000+50000+86600+50000+60000+717650</f>
        <v>2464250</v>
      </c>
      <c r="M12" s="27"/>
      <c r="N12" s="27">
        <v>153733</v>
      </c>
      <c r="O12" s="27">
        <v>2563140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8">
        <f t="shared" si="0"/>
        <v>20022141</v>
      </c>
      <c r="AB12" s="37"/>
      <c r="AC12" s="29"/>
    </row>
    <row r="13" spans="1:29" ht="15.75">
      <c r="A13" s="26" t="s">
        <v>182</v>
      </c>
      <c r="B13" s="27"/>
      <c r="C13" s="27"/>
      <c r="D13" s="27"/>
      <c r="E13" s="27"/>
      <c r="F13" s="27"/>
      <c r="G13" s="27"/>
      <c r="H13" s="27">
        <v>4492142</v>
      </c>
      <c r="I13" s="27">
        <v>259116</v>
      </c>
      <c r="J13" s="27"/>
      <c r="K13" s="27"/>
      <c r="L13" s="27">
        <f>2819333+390000+300000+35336</f>
        <v>3544669</v>
      </c>
      <c r="M13" s="27"/>
      <c r="N13" s="27"/>
      <c r="O13" s="27"/>
      <c r="P13" s="27"/>
      <c r="Q13" s="27">
        <v>233924</v>
      </c>
      <c r="R13" s="27"/>
      <c r="S13" s="27"/>
      <c r="T13" s="27"/>
      <c r="U13" s="27"/>
      <c r="V13" s="27"/>
      <c r="W13" s="27"/>
      <c r="X13" s="27"/>
      <c r="Y13" s="27"/>
      <c r="Z13" s="27"/>
      <c r="AA13" s="28">
        <f t="shared" si="0"/>
        <v>8529851</v>
      </c>
      <c r="AB13" s="37"/>
      <c r="AC13" s="29"/>
    </row>
    <row r="14" spans="1:29" ht="15.75">
      <c r="A14" s="26" t="s">
        <v>173</v>
      </c>
      <c r="B14" s="27"/>
      <c r="C14" s="27"/>
      <c r="D14" s="27"/>
      <c r="E14" s="27"/>
      <c r="F14" s="27"/>
      <c r="G14" s="27">
        <f>296500+9360</f>
        <v>305860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8">
        <f t="shared" si="0"/>
        <v>305860</v>
      </c>
      <c r="AB14" s="37"/>
      <c r="AC14" s="29"/>
    </row>
    <row r="15" spans="1:29" ht="15.75">
      <c r="A15" s="30" t="s">
        <v>176</v>
      </c>
      <c r="B15" s="27"/>
      <c r="C15" s="27"/>
      <c r="D15" s="27"/>
      <c r="E15" s="27"/>
      <c r="F15" s="27"/>
      <c r="G15" s="27">
        <v>441735</v>
      </c>
      <c r="H15" s="27">
        <f>99500+147000</f>
        <v>246500</v>
      </c>
      <c r="I15" s="27">
        <v>386780</v>
      </c>
      <c r="J15" s="27"/>
      <c r="K15" s="27"/>
      <c r="L15" s="27">
        <f>45000+50000+677247</f>
        <v>772247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>
        <v>348000</v>
      </c>
      <c r="Y15" s="27"/>
      <c r="Z15" s="27"/>
      <c r="AA15" s="28">
        <f t="shared" si="0"/>
        <v>2195262</v>
      </c>
      <c r="AB15" s="37"/>
      <c r="AC15" s="29"/>
    </row>
    <row r="16" spans="1:29" ht="15.75">
      <c r="A16" s="26" t="s">
        <v>304</v>
      </c>
      <c r="B16" s="27"/>
      <c r="C16" s="27"/>
      <c r="D16" s="27"/>
      <c r="E16" s="27"/>
      <c r="F16" s="27"/>
      <c r="G16" s="27"/>
      <c r="H16" s="27"/>
      <c r="I16" s="27">
        <v>345200</v>
      </c>
      <c r="J16" s="27"/>
      <c r="K16" s="27"/>
      <c r="L16" s="27">
        <v>279000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8">
        <f t="shared" si="0"/>
        <v>624200</v>
      </c>
      <c r="AB16" s="37"/>
      <c r="AC16" s="29"/>
    </row>
    <row r="17" spans="1:29" ht="15.75">
      <c r="A17" s="26" t="s">
        <v>175</v>
      </c>
      <c r="B17" s="27"/>
      <c r="C17" s="27"/>
      <c r="D17" s="27"/>
      <c r="E17" s="27"/>
      <c r="F17" s="27"/>
      <c r="G17" s="27">
        <f>376752</f>
        <v>376752</v>
      </c>
      <c r="H17" s="27">
        <f>45248+175000+24704.44</f>
        <v>244952.44</v>
      </c>
      <c r="I17" s="27">
        <v>276000</v>
      </c>
      <c r="J17" s="27">
        <v>379000</v>
      </c>
      <c r="K17" s="27"/>
      <c r="L17" s="27">
        <v>196000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8">
        <f t="shared" si="0"/>
        <v>1472704.44</v>
      </c>
      <c r="AB17" s="37"/>
      <c r="AC17" s="29"/>
    </row>
    <row r="18" spans="1:30" ht="15.75">
      <c r="A18" s="26" t="s">
        <v>253</v>
      </c>
      <c r="B18" s="27"/>
      <c r="C18" s="27"/>
      <c r="D18" s="27"/>
      <c r="E18" s="27"/>
      <c r="F18" s="27"/>
      <c r="G18" s="27"/>
      <c r="H18" s="27">
        <f>192472+206546+526000+100000</f>
        <v>1025018</v>
      </c>
      <c r="I18" s="27">
        <v>140000</v>
      </c>
      <c r="J18" s="27"/>
      <c r="K18" s="27"/>
      <c r="L18" s="27">
        <v>148000</v>
      </c>
      <c r="M18" s="27"/>
      <c r="N18" s="27"/>
      <c r="O18" s="27"/>
      <c r="P18" s="27"/>
      <c r="Q18" s="27"/>
      <c r="R18" s="27"/>
      <c r="S18" s="27"/>
      <c r="T18" s="27"/>
      <c r="U18" s="27"/>
      <c r="V18" s="27">
        <f>2314123+1523269</f>
        <v>3837392</v>
      </c>
      <c r="W18" s="27"/>
      <c r="X18" s="27"/>
      <c r="Y18" s="27"/>
      <c r="Z18" s="27"/>
      <c r="AA18" s="28">
        <f t="shared" si="0"/>
        <v>5150410</v>
      </c>
      <c r="AB18" s="37"/>
      <c r="AC18" s="29"/>
      <c r="AD18" s="92"/>
    </row>
    <row r="19" spans="1:29" ht="15.75">
      <c r="A19" s="26" t="s">
        <v>246</v>
      </c>
      <c r="B19" s="27"/>
      <c r="C19" s="27"/>
      <c r="D19" s="27"/>
      <c r="E19" s="27"/>
      <c r="F19" s="27"/>
      <c r="G19" s="27"/>
      <c r="H19" s="27"/>
      <c r="I19" s="27">
        <f>925152+100000</f>
        <v>1025152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>
        <v>201053</v>
      </c>
      <c r="U19" s="27"/>
      <c r="V19" s="27">
        <v>6894977</v>
      </c>
      <c r="W19" s="27"/>
      <c r="X19" s="27"/>
      <c r="Y19" s="27"/>
      <c r="Z19" s="27"/>
      <c r="AA19" s="28">
        <f t="shared" si="0"/>
        <v>8121182</v>
      </c>
      <c r="AB19" s="28">
        <f>SUM(B19:AA19)</f>
        <v>16242364</v>
      </c>
      <c r="AC19" s="37"/>
    </row>
    <row r="20" spans="1:29" ht="15.75">
      <c r="A20" s="90" t="s">
        <v>260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>
        <v>342379</v>
      </c>
      <c r="W20" s="27"/>
      <c r="X20" s="27"/>
      <c r="Y20" s="27"/>
      <c r="Z20" s="27"/>
      <c r="AA20" s="28">
        <f t="shared" si="0"/>
        <v>342379</v>
      </c>
      <c r="AB20" s="28"/>
      <c r="AC20" s="37"/>
    </row>
    <row r="21" spans="1:29" ht="15.75">
      <c r="A21" s="90" t="s">
        <v>261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>
        <v>245827</v>
      </c>
      <c r="W21" s="27"/>
      <c r="X21" s="27"/>
      <c r="Y21" s="27"/>
      <c r="Z21" s="27"/>
      <c r="AA21" s="28">
        <f t="shared" si="0"/>
        <v>245827</v>
      </c>
      <c r="AB21" s="28"/>
      <c r="AC21" s="37"/>
    </row>
    <row r="22" spans="1:29" ht="15.75">
      <c r="A22" s="90" t="s">
        <v>262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>
        <v>50000</v>
      </c>
      <c r="T22" s="27"/>
      <c r="U22" s="27"/>
      <c r="V22" s="27">
        <v>274903</v>
      </c>
      <c r="W22" s="27"/>
      <c r="X22" s="27"/>
      <c r="Y22" s="27"/>
      <c r="Z22" s="27"/>
      <c r="AA22" s="28">
        <f t="shared" si="0"/>
        <v>324903</v>
      </c>
      <c r="AB22" s="28"/>
      <c r="AC22" s="37"/>
    </row>
    <row r="23" spans="1:29" ht="15.75">
      <c r="A23" s="90" t="s">
        <v>263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>
        <v>240396</v>
      </c>
      <c r="W23" s="27"/>
      <c r="X23" s="27"/>
      <c r="Y23" s="27"/>
      <c r="Z23" s="27"/>
      <c r="AA23" s="28">
        <f t="shared" si="0"/>
        <v>240396</v>
      </c>
      <c r="AB23" s="28"/>
      <c r="AC23" s="37"/>
    </row>
    <row r="24" spans="1:29" ht="15.75">
      <c r="A24" s="90" t="s">
        <v>264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>
        <v>252614</v>
      </c>
      <c r="W24" s="27"/>
      <c r="X24" s="27"/>
      <c r="Y24" s="27"/>
      <c r="Z24" s="27"/>
      <c r="AA24" s="28">
        <f t="shared" si="0"/>
        <v>252614</v>
      </c>
      <c r="AB24" s="28"/>
      <c r="AC24" s="37"/>
    </row>
    <row r="25" spans="1:29" ht="15.75">
      <c r="A25" s="90" t="s">
        <v>265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>
        <v>48820</v>
      </c>
      <c r="T25" s="27"/>
      <c r="U25" s="27"/>
      <c r="V25" s="27">
        <v>258386</v>
      </c>
      <c r="W25" s="27"/>
      <c r="X25" s="27"/>
      <c r="Y25" s="27"/>
      <c r="Z25" s="27"/>
      <c r="AA25" s="28">
        <f t="shared" si="0"/>
        <v>307206</v>
      </c>
      <c r="AB25" s="28"/>
      <c r="AC25" s="37"/>
    </row>
    <row r="26" spans="1:29" ht="15.75">
      <c r="A26" s="90" t="s">
        <v>266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>
        <v>252734</v>
      </c>
      <c r="W26" s="27"/>
      <c r="X26" s="27"/>
      <c r="Y26" s="27"/>
      <c r="Z26" s="27"/>
      <c r="AA26" s="28">
        <f t="shared" si="0"/>
        <v>252734</v>
      </c>
      <c r="AB26" s="28"/>
      <c r="AC26" s="37"/>
    </row>
    <row r="27" spans="1:29" ht="15.75">
      <c r="A27" s="90" t="s">
        <v>267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>
        <v>255789</v>
      </c>
      <c r="W27" s="27"/>
      <c r="X27" s="27"/>
      <c r="Y27" s="27"/>
      <c r="Z27" s="27"/>
      <c r="AA27" s="28">
        <f t="shared" si="0"/>
        <v>255789</v>
      </c>
      <c r="AB27" s="28"/>
      <c r="AC27" s="37"/>
    </row>
    <row r="28" spans="1:29" ht="15.75">
      <c r="A28" s="90" t="s">
        <v>268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8"/>
      <c r="M28" s="28"/>
      <c r="N28" s="28"/>
      <c r="O28" s="28"/>
      <c r="P28" s="28"/>
      <c r="Q28" s="28"/>
      <c r="R28" s="27"/>
      <c r="S28" s="27"/>
      <c r="T28" s="27"/>
      <c r="U28" s="27"/>
      <c r="V28" s="27">
        <v>263245</v>
      </c>
      <c r="W28" s="27"/>
      <c r="X28" s="27"/>
      <c r="Y28" s="27"/>
      <c r="Z28" s="27"/>
      <c r="AA28" s="28">
        <f t="shared" si="0"/>
        <v>263245</v>
      </c>
      <c r="AB28" s="28"/>
      <c r="AC28" s="37"/>
    </row>
    <row r="29" spans="1:29" ht="15.75">
      <c r="A29" s="90" t="s">
        <v>269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>
        <v>238439</v>
      </c>
      <c r="W29" s="27"/>
      <c r="X29" s="27"/>
      <c r="Y29" s="27"/>
      <c r="Z29" s="27"/>
      <c r="AA29" s="28">
        <f t="shared" si="0"/>
        <v>238439</v>
      </c>
      <c r="AB29" s="28"/>
      <c r="AC29" s="37"/>
    </row>
    <row r="30" spans="1:29" ht="15.75">
      <c r="A30" s="90" t="s">
        <v>270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124"/>
      <c r="M30" s="124"/>
      <c r="N30" s="124"/>
      <c r="O30" s="124"/>
      <c r="P30" s="124"/>
      <c r="Q30" s="124"/>
      <c r="R30" s="27"/>
      <c r="S30" s="27">
        <v>47000</v>
      </c>
      <c r="T30" s="27"/>
      <c r="U30" s="27"/>
      <c r="V30" s="27">
        <v>345035</v>
      </c>
      <c r="W30" s="27"/>
      <c r="X30" s="27"/>
      <c r="Y30" s="27"/>
      <c r="Z30" s="27"/>
      <c r="AA30" s="28">
        <f t="shared" si="0"/>
        <v>392035</v>
      </c>
      <c r="AB30" s="28"/>
      <c r="AC30" s="37"/>
    </row>
    <row r="31" spans="1:29" ht="15.75">
      <c r="A31" s="90" t="s">
        <v>271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121"/>
      <c r="M31" s="27"/>
      <c r="N31" s="27"/>
      <c r="O31" s="27"/>
      <c r="P31" s="27"/>
      <c r="Q31" s="27"/>
      <c r="R31" s="27"/>
      <c r="S31" s="27"/>
      <c r="T31" s="27"/>
      <c r="U31" s="27"/>
      <c r="V31" s="27">
        <v>264532</v>
      </c>
      <c r="W31" s="27"/>
      <c r="X31" s="27"/>
      <c r="Y31" s="27"/>
      <c r="Z31" s="27"/>
      <c r="AA31" s="28">
        <f t="shared" si="0"/>
        <v>264532</v>
      </c>
      <c r="AB31" s="28"/>
      <c r="AC31" s="37"/>
    </row>
    <row r="32" spans="1:29" ht="15.75">
      <c r="A32" s="90" t="s">
        <v>272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121"/>
      <c r="M32" s="27"/>
      <c r="N32" s="27"/>
      <c r="O32" s="27"/>
      <c r="P32" s="27"/>
      <c r="Q32" s="27"/>
      <c r="R32" s="27"/>
      <c r="S32" s="27"/>
      <c r="T32" s="27"/>
      <c r="U32" s="27"/>
      <c r="V32" s="27">
        <v>274057</v>
      </c>
      <c r="W32" s="27"/>
      <c r="X32" s="27"/>
      <c r="Y32" s="27"/>
      <c r="Z32" s="27"/>
      <c r="AA32" s="28">
        <f t="shared" si="0"/>
        <v>274057</v>
      </c>
      <c r="AB32" s="28"/>
      <c r="AC32" s="37"/>
    </row>
    <row r="33" spans="1:29" ht="15.75">
      <c r="A33" s="90" t="s">
        <v>273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121"/>
      <c r="M33" s="27"/>
      <c r="N33" s="27"/>
      <c r="O33" s="27"/>
      <c r="P33" s="27"/>
      <c r="Q33" s="27"/>
      <c r="R33" s="27"/>
      <c r="S33" s="27"/>
      <c r="T33" s="27"/>
      <c r="U33" s="27"/>
      <c r="V33" s="27">
        <v>239121</v>
      </c>
      <c r="W33" s="27"/>
      <c r="X33" s="27"/>
      <c r="Y33" s="27"/>
      <c r="Z33" s="27"/>
      <c r="AA33" s="28">
        <f t="shared" si="0"/>
        <v>239121</v>
      </c>
      <c r="AB33" s="28"/>
      <c r="AC33" s="37"/>
    </row>
    <row r="34" spans="1:29" ht="15.75">
      <c r="A34" s="90" t="s">
        <v>274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121"/>
      <c r="M34" s="27"/>
      <c r="N34" s="27"/>
      <c r="O34" s="27"/>
      <c r="P34" s="27"/>
      <c r="Q34" s="27"/>
      <c r="R34" s="27"/>
      <c r="S34" s="27">
        <v>50000</v>
      </c>
      <c r="T34" s="27"/>
      <c r="U34" s="27"/>
      <c r="V34" s="27">
        <v>245492</v>
      </c>
      <c r="W34" s="27"/>
      <c r="X34" s="27"/>
      <c r="Y34" s="27"/>
      <c r="Z34" s="27"/>
      <c r="AA34" s="28">
        <f t="shared" si="0"/>
        <v>295492</v>
      </c>
      <c r="AB34" s="28"/>
      <c r="AC34" s="37"/>
    </row>
    <row r="35" spans="1:29" ht="15.75">
      <c r="A35" s="90" t="s">
        <v>275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121"/>
      <c r="M35" s="27"/>
      <c r="N35" s="27"/>
      <c r="O35" s="27"/>
      <c r="P35" s="27"/>
      <c r="Q35" s="27"/>
      <c r="R35" s="27"/>
      <c r="S35" s="27"/>
      <c r="T35" s="27"/>
      <c r="U35" s="27"/>
      <c r="V35" s="27">
        <v>231229</v>
      </c>
      <c r="W35" s="27"/>
      <c r="X35" s="27"/>
      <c r="Y35" s="27"/>
      <c r="Z35" s="27"/>
      <c r="AA35" s="28">
        <f t="shared" si="0"/>
        <v>231229</v>
      </c>
      <c r="AB35" s="28"/>
      <c r="AC35" s="37"/>
    </row>
    <row r="36" spans="1:29" ht="15.75">
      <c r="A36" s="90" t="s">
        <v>276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121"/>
      <c r="M36" s="27"/>
      <c r="N36" s="27"/>
      <c r="O36" s="27"/>
      <c r="P36" s="27"/>
      <c r="Q36" s="27"/>
      <c r="R36" s="27"/>
      <c r="S36" s="27">
        <v>50000</v>
      </c>
      <c r="T36" s="27"/>
      <c r="U36" s="27"/>
      <c r="V36" s="27">
        <v>303399</v>
      </c>
      <c r="W36" s="27"/>
      <c r="X36" s="27"/>
      <c r="Y36" s="27"/>
      <c r="Z36" s="27"/>
      <c r="AA36" s="28">
        <f t="shared" si="0"/>
        <v>353399</v>
      </c>
      <c r="AB36" s="28"/>
      <c r="AC36" s="37"/>
    </row>
    <row r="37" spans="1:29" ht="15.75">
      <c r="A37" s="90" t="s">
        <v>277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121"/>
      <c r="M37" s="27"/>
      <c r="N37" s="27"/>
      <c r="O37" s="27"/>
      <c r="P37" s="27"/>
      <c r="Q37" s="27"/>
      <c r="R37" s="27"/>
      <c r="S37" s="27"/>
      <c r="T37" s="27"/>
      <c r="U37" s="27"/>
      <c r="V37" s="27">
        <v>260905</v>
      </c>
      <c r="W37" s="27"/>
      <c r="X37" s="27"/>
      <c r="Y37" s="27"/>
      <c r="Z37" s="27"/>
      <c r="AA37" s="28">
        <f t="shared" si="0"/>
        <v>260905</v>
      </c>
      <c r="AB37" s="28"/>
      <c r="AC37" s="37"/>
    </row>
    <row r="38" spans="1:29" ht="15.75">
      <c r="A38" s="90" t="s">
        <v>278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121"/>
      <c r="M38" s="27"/>
      <c r="N38" s="27"/>
      <c r="O38" s="27"/>
      <c r="P38" s="27"/>
      <c r="Q38" s="27"/>
      <c r="R38" s="27"/>
      <c r="S38" s="27"/>
      <c r="T38" s="27"/>
      <c r="U38" s="27"/>
      <c r="V38" s="27">
        <v>276217</v>
      </c>
      <c r="W38" s="27"/>
      <c r="X38" s="27"/>
      <c r="Y38" s="27"/>
      <c r="Z38" s="27"/>
      <c r="AA38" s="28">
        <f t="shared" si="0"/>
        <v>276217</v>
      </c>
      <c r="AB38" s="28"/>
      <c r="AC38" s="37"/>
    </row>
    <row r="39" spans="1:29" ht="15.75">
      <c r="A39" s="90" t="s">
        <v>279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121"/>
      <c r="M39" s="27"/>
      <c r="N39" s="27"/>
      <c r="O39" s="27"/>
      <c r="P39" s="27"/>
      <c r="Q39" s="27"/>
      <c r="R39" s="27"/>
      <c r="S39" s="27"/>
      <c r="T39" s="27"/>
      <c r="U39" s="27"/>
      <c r="V39" s="27">
        <v>175150</v>
      </c>
      <c r="W39" s="27"/>
      <c r="X39" s="27"/>
      <c r="Y39" s="27"/>
      <c r="Z39" s="27"/>
      <c r="AA39" s="28">
        <f t="shared" si="0"/>
        <v>175150</v>
      </c>
      <c r="AB39" s="28"/>
      <c r="AC39" s="37"/>
    </row>
    <row r="40" spans="1:29" ht="15.75">
      <c r="A40" s="90" t="s">
        <v>280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121"/>
      <c r="M40" s="27"/>
      <c r="N40" s="27"/>
      <c r="O40" s="27"/>
      <c r="P40" s="27"/>
      <c r="Q40" s="27"/>
      <c r="R40" s="27"/>
      <c r="S40" s="27"/>
      <c r="T40" s="27"/>
      <c r="U40" s="27"/>
      <c r="V40" s="27">
        <v>191490</v>
      </c>
      <c r="W40" s="27"/>
      <c r="X40" s="27"/>
      <c r="Y40" s="27"/>
      <c r="Z40" s="27"/>
      <c r="AA40" s="28">
        <f t="shared" si="0"/>
        <v>191490</v>
      </c>
      <c r="AB40" s="28"/>
      <c r="AC40" s="37"/>
    </row>
    <row r="41" spans="1:29" ht="15.75">
      <c r="A41" s="90" t="s">
        <v>281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121"/>
      <c r="M41" s="27"/>
      <c r="N41" s="27"/>
      <c r="O41" s="27"/>
      <c r="P41" s="27"/>
      <c r="Q41" s="27"/>
      <c r="R41" s="27"/>
      <c r="S41" s="27"/>
      <c r="T41" s="27"/>
      <c r="U41" s="27"/>
      <c r="V41" s="27">
        <v>270209</v>
      </c>
      <c r="W41" s="27"/>
      <c r="X41" s="27"/>
      <c r="Y41" s="27"/>
      <c r="Z41" s="27"/>
      <c r="AA41" s="28">
        <f t="shared" si="0"/>
        <v>270209</v>
      </c>
      <c r="AB41" s="28"/>
      <c r="AC41" s="37"/>
    </row>
    <row r="42" spans="1:29" ht="15.75">
      <c r="A42" s="90" t="s">
        <v>282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121"/>
      <c r="M42" s="27"/>
      <c r="N42" s="27"/>
      <c r="O42" s="27"/>
      <c r="P42" s="27"/>
      <c r="Q42" s="27"/>
      <c r="R42" s="27"/>
      <c r="S42" s="27"/>
      <c r="T42" s="27"/>
      <c r="U42" s="27"/>
      <c r="V42" s="27">
        <v>256304</v>
      </c>
      <c r="W42" s="27"/>
      <c r="X42" s="27"/>
      <c r="Y42" s="27"/>
      <c r="Z42" s="27"/>
      <c r="AA42" s="28">
        <f t="shared" si="0"/>
        <v>256304</v>
      </c>
      <c r="AB42" s="28"/>
      <c r="AC42" s="37"/>
    </row>
    <row r="43" spans="1:29" ht="15.75">
      <c r="A43" s="90" t="s">
        <v>283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121"/>
      <c r="M43" s="27"/>
      <c r="N43" s="27"/>
      <c r="O43" s="27"/>
      <c r="P43" s="27"/>
      <c r="Q43" s="27"/>
      <c r="R43" s="27"/>
      <c r="S43" s="27"/>
      <c r="T43" s="27"/>
      <c r="U43" s="27"/>
      <c r="V43" s="27">
        <v>264430</v>
      </c>
      <c r="W43" s="27"/>
      <c r="X43" s="27"/>
      <c r="Y43" s="27"/>
      <c r="Z43" s="27"/>
      <c r="AA43" s="28">
        <f t="shared" si="0"/>
        <v>264430</v>
      </c>
      <c r="AB43" s="28"/>
      <c r="AC43" s="37"/>
    </row>
    <row r="44" spans="1:29" ht="15.75">
      <c r="A44" s="90" t="s">
        <v>284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121"/>
      <c r="M44" s="27"/>
      <c r="N44" s="27"/>
      <c r="O44" s="27"/>
      <c r="P44" s="27"/>
      <c r="Q44" s="27"/>
      <c r="R44" s="27"/>
      <c r="S44" s="27"/>
      <c r="T44" s="27"/>
      <c r="U44" s="27"/>
      <c r="V44" s="27">
        <v>297628</v>
      </c>
      <c r="W44" s="27"/>
      <c r="X44" s="27"/>
      <c r="Y44" s="27"/>
      <c r="Z44" s="27"/>
      <c r="AA44" s="28">
        <f t="shared" si="0"/>
        <v>297628</v>
      </c>
      <c r="AB44" s="28"/>
      <c r="AC44" s="37"/>
    </row>
    <row r="45" spans="1:29" ht="15.75">
      <c r="A45" s="90" t="s">
        <v>285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121"/>
      <c r="M45" s="27"/>
      <c r="N45" s="27"/>
      <c r="O45" s="27"/>
      <c r="P45" s="27"/>
      <c r="Q45" s="27"/>
      <c r="R45" s="27"/>
      <c r="S45" s="27">
        <v>45950</v>
      </c>
      <c r="T45" s="27"/>
      <c r="U45" s="27"/>
      <c r="V45" s="27">
        <v>273092</v>
      </c>
      <c r="W45" s="27"/>
      <c r="X45" s="27"/>
      <c r="Y45" s="27"/>
      <c r="Z45" s="27"/>
      <c r="AA45" s="28">
        <f t="shared" si="0"/>
        <v>319042</v>
      </c>
      <c r="AB45" s="28"/>
      <c r="AC45" s="37"/>
    </row>
    <row r="46" spans="1:29" ht="15.75">
      <c r="A46" s="90" t="s">
        <v>286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121"/>
      <c r="M46" s="27"/>
      <c r="N46" s="27"/>
      <c r="O46" s="27"/>
      <c r="P46" s="27"/>
      <c r="Q46" s="27"/>
      <c r="R46" s="27"/>
      <c r="S46" s="27">
        <v>42275</v>
      </c>
      <c r="T46" s="27"/>
      <c r="U46" s="27"/>
      <c r="V46" s="27">
        <v>275034</v>
      </c>
      <c r="W46" s="27"/>
      <c r="X46" s="27"/>
      <c r="Y46" s="27"/>
      <c r="Z46" s="27"/>
      <c r="AA46" s="28">
        <f t="shared" si="0"/>
        <v>317309</v>
      </c>
      <c r="AB46" s="28"/>
      <c r="AC46" s="37"/>
    </row>
    <row r="47" spans="1:29" ht="15.75">
      <c r="A47" s="90" t="s">
        <v>287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121"/>
      <c r="M47" s="27"/>
      <c r="N47" s="27"/>
      <c r="O47" s="27"/>
      <c r="P47" s="27"/>
      <c r="Q47" s="27"/>
      <c r="R47" s="27"/>
      <c r="S47" s="27"/>
      <c r="T47" s="27"/>
      <c r="U47" s="27"/>
      <c r="V47" s="27">
        <v>192764</v>
      </c>
      <c r="W47" s="27"/>
      <c r="X47" s="27"/>
      <c r="Y47" s="27"/>
      <c r="Z47" s="27"/>
      <c r="AA47" s="28">
        <f t="shared" si="0"/>
        <v>192764</v>
      </c>
      <c r="AB47" s="28"/>
      <c r="AC47" s="37"/>
    </row>
    <row r="48" spans="1:29" ht="15.75">
      <c r="A48" s="90" t="s">
        <v>288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121"/>
      <c r="M48" s="27"/>
      <c r="N48" s="27"/>
      <c r="O48" s="27"/>
      <c r="P48" s="27"/>
      <c r="Q48" s="27"/>
      <c r="R48" s="27"/>
      <c r="S48" s="27">
        <v>50000</v>
      </c>
      <c r="T48" s="27"/>
      <c r="U48" s="27"/>
      <c r="V48" s="27">
        <v>183519</v>
      </c>
      <c r="W48" s="27"/>
      <c r="X48" s="27"/>
      <c r="Y48" s="27"/>
      <c r="Z48" s="27"/>
      <c r="AA48" s="28">
        <f t="shared" si="0"/>
        <v>233519</v>
      </c>
      <c r="AB48" s="28"/>
      <c r="AC48" s="37"/>
    </row>
    <row r="49" spans="1:29" ht="15.75">
      <c r="A49" s="90" t="s">
        <v>289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121"/>
      <c r="M49" s="27"/>
      <c r="N49" s="27"/>
      <c r="O49" s="27"/>
      <c r="P49" s="27"/>
      <c r="Q49" s="27"/>
      <c r="R49" s="27"/>
      <c r="S49" s="27">
        <v>50000</v>
      </c>
      <c r="T49" s="27"/>
      <c r="U49" s="27"/>
      <c r="V49" s="27">
        <v>267510</v>
      </c>
      <c r="W49" s="27"/>
      <c r="X49" s="27"/>
      <c r="Y49" s="27"/>
      <c r="Z49" s="27"/>
      <c r="AA49" s="28">
        <f t="shared" si="0"/>
        <v>317510</v>
      </c>
      <c r="AB49" s="28"/>
      <c r="AC49" s="37"/>
    </row>
    <row r="50" spans="1:29" ht="15.75">
      <c r="A50" s="90" t="s">
        <v>290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121"/>
      <c r="M50" s="27"/>
      <c r="N50" s="27"/>
      <c r="O50" s="27"/>
      <c r="P50" s="27"/>
      <c r="Q50" s="27"/>
      <c r="R50" s="27"/>
      <c r="S50" s="27"/>
      <c r="T50" s="27"/>
      <c r="U50" s="27"/>
      <c r="V50" s="27">
        <v>258970</v>
      </c>
      <c r="W50" s="27"/>
      <c r="X50" s="27"/>
      <c r="Y50" s="27"/>
      <c r="Z50" s="27"/>
      <c r="AA50" s="28">
        <f t="shared" si="0"/>
        <v>258970</v>
      </c>
      <c r="AB50" s="28"/>
      <c r="AC50" s="37"/>
    </row>
    <row r="51" spans="1:29" ht="15.75">
      <c r="A51" s="90" t="s">
        <v>291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121"/>
      <c r="M51" s="27"/>
      <c r="N51" s="27"/>
      <c r="O51" s="27"/>
      <c r="P51" s="27"/>
      <c r="Q51" s="27"/>
      <c r="R51" s="27"/>
      <c r="S51" s="27"/>
      <c r="T51" s="27"/>
      <c r="U51" s="27"/>
      <c r="V51" s="27">
        <v>259975</v>
      </c>
      <c r="W51" s="27"/>
      <c r="X51" s="27"/>
      <c r="Y51" s="27"/>
      <c r="Z51" s="27"/>
      <c r="AA51" s="28">
        <f t="shared" si="0"/>
        <v>259975</v>
      </c>
      <c r="AB51" s="28"/>
      <c r="AC51" s="37"/>
    </row>
    <row r="52" spans="1:29" ht="15.75">
      <c r="A52" s="90" t="s">
        <v>292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121"/>
      <c r="M52" s="27"/>
      <c r="N52" s="27"/>
      <c r="O52" s="27"/>
      <c r="P52" s="27"/>
      <c r="Q52" s="27"/>
      <c r="R52" s="27"/>
      <c r="S52" s="27">
        <v>49991</v>
      </c>
      <c r="T52" s="27"/>
      <c r="U52" s="27"/>
      <c r="V52" s="27">
        <v>244622</v>
      </c>
      <c r="W52" s="27"/>
      <c r="X52" s="27"/>
      <c r="Y52" s="27"/>
      <c r="Z52" s="27"/>
      <c r="AA52" s="28">
        <f t="shared" si="0"/>
        <v>294613</v>
      </c>
      <c r="AB52" s="28"/>
      <c r="AC52" s="37"/>
    </row>
    <row r="53" spans="1:29" ht="15.75">
      <c r="A53" s="90" t="s">
        <v>293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121"/>
      <c r="M53" s="27"/>
      <c r="N53" s="27"/>
      <c r="O53" s="27"/>
      <c r="P53" s="27"/>
      <c r="Q53" s="27"/>
      <c r="R53" s="27"/>
      <c r="S53" s="27"/>
      <c r="T53" s="27"/>
      <c r="U53" s="27"/>
      <c r="V53" s="27">
        <v>233982</v>
      </c>
      <c r="W53" s="27"/>
      <c r="X53" s="27"/>
      <c r="Y53" s="27"/>
      <c r="Z53" s="27"/>
      <c r="AA53" s="28">
        <f t="shared" si="0"/>
        <v>233982</v>
      </c>
      <c r="AB53" s="28"/>
      <c r="AC53" s="37"/>
    </row>
    <row r="54" spans="1:29" ht="15.75">
      <c r="A54" s="90" t="s">
        <v>294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121"/>
      <c r="M54" s="27"/>
      <c r="N54" s="27"/>
      <c r="O54" s="27"/>
      <c r="P54" s="27"/>
      <c r="Q54" s="27"/>
      <c r="R54" s="27"/>
      <c r="S54" s="27">
        <v>50000</v>
      </c>
      <c r="T54" s="27"/>
      <c r="U54" s="27"/>
      <c r="V54" s="27">
        <v>262462</v>
      </c>
      <c r="W54" s="27"/>
      <c r="X54" s="27"/>
      <c r="Y54" s="27"/>
      <c r="Z54" s="27"/>
      <c r="AA54" s="28">
        <f t="shared" si="0"/>
        <v>312462</v>
      </c>
      <c r="AB54" s="28"/>
      <c r="AC54" s="37"/>
    </row>
    <row r="55" spans="1:29" ht="15.75">
      <c r="A55" s="91" t="s">
        <v>256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121">
        <v>85000</v>
      </c>
      <c r="M55" s="27"/>
      <c r="N55" s="27"/>
      <c r="O55" s="27"/>
      <c r="P55" s="27"/>
      <c r="Q55" s="27"/>
      <c r="R55" s="27"/>
      <c r="S55" s="27"/>
      <c r="T55" s="27">
        <v>370000</v>
      </c>
      <c r="U55" s="27"/>
      <c r="V55" s="27"/>
      <c r="W55" s="27"/>
      <c r="X55" s="27"/>
      <c r="Y55" s="27"/>
      <c r="Z55" s="27"/>
      <c r="AA55" s="28">
        <f t="shared" si="0"/>
        <v>455000</v>
      </c>
      <c r="AB55" s="28"/>
      <c r="AC55" s="37"/>
    </row>
    <row r="56" spans="1:29" ht="15.75">
      <c r="A56" s="26" t="s">
        <v>178</v>
      </c>
      <c r="B56" s="27"/>
      <c r="C56" s="27"/>
      <c r="D56" s="27"/>
      <c r="E56" s="27"/>
      <c r="F56" s="27"/>
      <c r="G56" s="27">
        <v>300000</v>
      </c>
      <c r="H56" s="27"/>
      <c r="I56" s="27">
        <v>263000</v>
      </c>
      <c r="J56" s="27"/>
      <c r="K56" s="27"/>
      <c r="L56" s="121">
        <v>208000</v>
      </c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8">
        <f t="shared" si="0"/>
        <v>771000</v>
      </c>
      <c r="AB56" s="37"/>
      <c r="AC56" s="29"/>
    </row>
    <row r="57" spans="1:29" ht="15.75">
      <c r="A57" s="26" t="s">
        <v>179</v>
      </c>
      <c r="B57" s="27"/>
      <c r="C57" s="27"/>
      <c r="D57" s="27"/>
      <c r="E57" s="27"/>
      <c r="F57" s="27"/>
      <c r="G57" s="27"/>
      <c r="H57" s="27">
        <f>215200+150000+42716+209719.48</f>
        <v>617635.48</v>
      </c>
      <c r="I57" s="27">
        <f>146000+435688</f>
        <v>581688</v>
      </c>
      <c r="J57" s="27"/>
      <c r="K57" s="27"/>
      <c r="L57" s="121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8">
        <f t="shared" si="0"/>
        <v>1199323.48</v>
      </c>
      <c r="AB57" s="37"/>
      <c r="AC57" s="29"/>
    </row>
    <row r="58" spans="1:29" ht="15.75">
      <c r="A58" s="26" t="s">
        <v>248</v>
      </c>
      <c r="B58" s="27">
        <v>280000</v>
      </c>
      <c r="C58" s="27"/>
      <c r="D58" s="27"/>
      <c r="E58" s="27"/>
      <c r="F58" s="27"/>
      <c r="G58" s="27"/>
      <c r="H58" s="27">
        <v>685000</v>
      </c>
      <c r="I58" s="27">
        <v>1136623</v>
      </c>
      <c r="J58" s="27"/>
      <c r="K58" s="27"/>
      <c r="L58" s="121">
        <v>498000</v>
      </c>
      <c r="M58" s="27"/>
      <c r="N58" s="27"/>
      <c r="O58" s="27"/>
      <c r="P58" s="27"/>
      <c r="Q58" s="27"/>
      <c r="R58" s="27"/>
      <c r="S58" s="27"/>
      <c r="T58" s="27"/>
      <c r="U58" s="27"/>
      <c r="V58" s="27">
        <v>270683</v>
      </c>
      <c r="W58" s="27"/>
      <c r="X58" s="27"/>
      <c r="Y58" s="27"/>
      <c r="Z58" s="27"/>
      <c r="AA58" s="28">
        <f t="shared" si="0"/>
        <v>2870306</v>
      </c>
      <c r="AB58" s="37"/>
      <c r="AC58" s="29"/>
    </row>
    <row r="59" spans="1:29" ht="15.75">
      <c r="A59" s="26" t="s">
        <v>181</v>
      </c>
      <c r="B59" s="27"/>
      <c r="C59" s="27"/>
      <c r="D59" s="27"/>
      <c r="E59" s="27"/>
      <c r="F59" s="27"/>
      <c r="G59" s="27"/>
      <c r="H59" s="27">
        <v>224000</v>
      </c>
      <c r="I59" s="27">
        <v>600000</v>
      </c>
      <c r="J59" s="27">
        <v>379000</v>
      </c>
      <c r="K59" s="27"/>
      <c r="L59" s="121">
        <v>253000</v>
      </c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8">
        <f t="shared" si="0"/>
        <v>1456000</v>
      </c>
      <c r="AB59" s="37"/>
      <c r="AC59" s="29"/>
    </row>
    <row r="60" spans="1:29" ht="15.75">
      <c r="A60" s="26" t="s">
        <v>250</v>
      </c>
      <c r="B60" s="27"/>
      <c r="C60" s="27"/>
      <c r="D60" s="27"/>
      <c r="E60" s="27"/>
      <c r="F60" s="27"/>
      <c r="G60" s="27"/>
      <c r="H60" s="27">
        <v>314000</v>
      </c>
      <c r="I60" s="27">
        <v>312160</v>
      </c>
      <c r="J60" s="27"/>
      <c r="K60" s="27"/>
      <c r="L60" s="121">
        <v>275000</v>
      </c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8">
        <f t="shared" si="0"/>
        <v>901160</v>
      </c>
      <c r="AB60" s="37"/>
      <c r="AC60" s="29"/>
    </row>
    <row r="61" spans="1:29" ht="15.75">
      <c r="A61" s="26" t="s">
        <v>258</v>
      </c>
      <c r="B61" s="27"/>
      <c r="C61" s="27"/>
      <c r="D61" s="27"/>
      <c r="E61" s="27"/>
      <c r="F61" s="27"/>
      <c r="G61" s="27"/>
      <c r="H61" s="27">
        <v>21902.12</v>
      </c>
      <c r="I61" s="27"/>
      <c r="J61" s="27"/>
      <c r="K61" s="27"/>
      <c r="L61" s="121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8">
        <f t="shared" si="0"/>
        <v>21902.12</v>
      </c>
      <c r="AB61" s="37"/>
      <c r="AC61" s="29"/>
    </row>
    <row r="62" spans="1:29" ht="15.75">
      <c r="A62" s="26" t="s">
        <v>252</v>
      </c>
      <c r="B62" s="27"/>
      <c r="C62" s="27"/>
      <c r="D62" s="27"/>
      <c r="E62" s="27">
        <v>13900000</v>
      </c>
      <c r="F62" s="27"/>
      <c r="G62" s="27"/>
      <c r="H62" s="27">
        <f>1050000+11336.17</f>
        <v>1061336.17</v>
      </c>
      <c r="I62" s="27">
        <v>989000</v>
      </c>
      <c r="J62" s="27">
        <v>379000</v>
      </c>
      <c r="K62" s="27"/>
      <c r="L62" s="121">
        <v>700000</v>
      </c>
      <c r="M62" s="27"/>
      <c r="N62" s="27"/>
      <c r="O62" s="27"/>
      <c r="P62" s="27"/>
      <c r="Q62" s="27">
        <v>18000</v>
      </c>
      <c r="R62" s="27"/>
      <c r="S62" s="27"/>
      <c r="T62" s="27"/>
      <c r="U62" s="27"/>
      <c r="V62" s="27"/>
      <c r="W62" s="27"/>
      <c r="X62" s="27"/>
      <c r="Y62" s="27"/>
      <c r="Z62" s="27"/>
      <c r="AA62" s="28">
        <f t="shared" si="0"/>
        <v>17047336.17</v>
      </c>
      <c r="AB62" s="37"/>
      <c r="AC62" s="29"/>
    </row>
    <row r="63" spans="1:29" ht="15.75">
      <c r="A63" s="26" t="s">
        <v>303</v>
      </c>
      <c r="B63" s="27"/>
      <c r="C63" s="27"/>
      <c r="D63" s="27"/>
      <c r="E63" s="27"/>
      <c r="F63" s="27"/>
      <c r="G63" s="27"/>
      <c r="H63" s="27"/>
      <c r="I63" s="27">
        <v>734852</v>
      </c>
      <c r="J63" s="27"/>
      <c r="K63" s="27"/>
      <c r="L63" s="121">
        <v>2000000</v>
      </c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8">
        <f t="shared" si="0"/>
        <v>2734852</v>
      </c>
      <c r="AB63" s="37"/>
      <c r="AC63" s="29"/>
    </row>
    <row r="64" spans="1:29" ht="16.5" thickBot="1">
      <c r="A64" s="26" t="s">
        <v>254</v>
      </c>
      <c r="B64" s="31"/>
      <c r="C64" s="31"/>
      <c r="D64" s="31"/>
      <c r="E64" s="31"/>
      <c r="F64" s="31"/>
      <c r="G64" s="31"/>
      <c r="H64" s="31">
        <f>15338+342190</f>
        <v>357528</v>
      </c>
      <c r="I64" s="31"/>
      <c r="J64" s="31"/>
      <c r="K64" s="31"/>
      <c r="L64" s="123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2">
        <f t="shared" si="0"/>
        <v>357528</v>
      </c>
      <c r="AB64" s="42"/>
      <c r="AC64" s="33"/>
    </row>
    <row r="65" spans="1:31" s="4" customFormat="1" ht="16.5" thickTop="1">
      <c r="A65" s="130" t="s">
        <v>3</v>
      </c>
      <c r="B65" s="23">
        <f aca="true" t="shared" si="1" ref="B65:Z65">SUM(B5:B64)</f>
        <v>2044718</v>
      </c>
      <c r="C65" s="23">
        <f t="shared" si="1"/>
        <v>0</v>
      </c>
      <c r="D65" s="23">
        <f t="shared" si="1"/>
        <v>0</v>
      </c>
      <c r="E65" s="23">
        <f t="shared" si="1"/>
        <v>13900000</v>
      </c>
      <c r="F65" s="23">
        <f t="shared" si="1"/>
        <v>8747792</v>
      </c>
      <c r="G65" s="23">
        <f t="shared" si="1"/>
        <v>4657799</v>
      </c>
      <c r="H65" s="23">
        <f t="shared" si="1"/>
        <v>9894827.209999999</v>
      </c>
      <c r="I65" s="23">
        <f t="shared" si="1"/>
        <v>8415921</v>
      </c>
      <c r="J65" s="23">
        <f t="shared" si="1"/>
        <v>1785760</v>
      </c>
      <c r="K65" s="23">
        <f t="shared" si="1"/>
        <v>370085</v>
      </c>
      <c r="L65" s="23">
        <f t="shared" si="1"/>
        <v>12043666</v>
      </c>
      <c r="M65" s="23">
        <f t="shared" si="1"/>
        <v>2328756</v>
      </c>
      <c r="N65" s="23">
        <f t="shared" si="1"/>
        <v>153733</v>
      </c>
      <c r="O65" s="23">
        <f t="shared" si="1"/>
        <v>2563140</v>
      </c>
      <c r="P65" s="23">
        <f t="shared" si="1"/>
        <v>0</v>
      </c>
      <c r="Q65" s="23">
        <f t="shared" si="1"/>
        <v>251924</v>
      </c>
      <c r="R65" s="23">
        <f t="shared" si="1"/>
        <v>44972</v>
      </c>
      <c r="S65" s="23">
        <f t="shared" si="1"/>
        <v>534036</v>
      </c>
      <c r="T65" s="23">
        <f t="shared" si="1"/>
        <v>571053</v>
      </c>
      <c r="U65" s="23">
        <f t="shared" si="1"/>
        <v>0</v>
      </c>
      <c r="V65" s="23">
        <f t="shared" si="1"/>
        <v>19974892</v>
      </c>
      <c r="W65" s="23">
        <f t="shared" si="1"/>
        <v>0</v>
      </c>
      <c r="X65" s="23">
        <f t="shared" si="1"/>
        <v>348000</v>
      </c>
      <c r="Y65" s="23">
        <f t="shared" si="1"/>
        <v>0</v>
      </c>
      <c r="Z65" s="23">
        <f t="shared" si="1"/>
        <v>0</v>
      </c>
      <c r="AA65" s="23">
        <f t="shared" si="0"/>
        <v>88631074.21000001</v>
      </c>
      <c r="AB65" s="34"/>
      <c r="AC65" s="34"/>
      <c r="AE65" s="109">
        <f>SUM(AA5:AA64)</f>
        <v>88631074.21</v>
      </c>
    </row>
    <row r="66" spans="1:29" ht="15.75">
      <c r="A66" s="8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12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96"/>
      <c r="AB66" s="24"/>
      <c r="AC66" s="11"/>
    </row>
    <row r="67" spans="1:29" s="113" customFormat="1" ht="12.75">
      <c r="A67" s="50" t="s">
        <v>153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125"/>
      <c r="M67" s="35"/>
      <c r="N67" s="35"/>
      <c r="O67" s="35"/>
      <c r="P67" s="35"/>
      <c r="Q67" s="35"/>
      <c r="R67" s="77"/>
      <c r="S67" s="77"/>
      <c r="T67" s="77"/>
      <c r="U67" s="77"/>
      <c r="V67" s="77"/>
      <c r="W67" s="77"/>
      <c r="X67" s="77"/>
      <c r="Y67" s="77"/>
      <c r="Z67" s="77"/>
      <c r="AA67" s="112"/>
      <c r="AC67" s="50"/>
    </row>
    <row r="68" spans="1:29" s="5" customFormat="1" ht="15.75">
      <c r="A68" s="30" t="s">
        <v>9</v>
      </c>
      <c r="B68" s="27">
        <v>126918.96</v>
      </c>
      <c r="C68" s="27">
        <f>218083+90945+54000</f>
        <v>363028</v>
      </c>
      <c r="D68" s="27"/>
      <c r="E68" s="27"/>
      <c r="F68" s="27">
        <f>26312+29838</f>
        <v>56150</v>
      </c>
      <c r="G68" s="27">
        <v>44158</v>
      </c>
      <c r="H68" s="27">
        <v>129251</v>
      </c>
      <c r="I68" s="27">
        <f>140847.58+13680</f>
        <v>154527.58</v>
      </c>
      <c r="J68" s="27">
        <v>136304.76</v>
      </c>
      <c r="K68" s="27">
        <f>13000+11500</f>
        <v>24500</v>
      </c>
      <c r="L68" s="121">
        <v>53364</v>
      </c>
      <c r="M68" s="27"/>
      <c r="N68" s="27">
        <v>4320</v>
      </c>
      <c r="O68" s="27">
        <v>6782</v>
      </c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8">
        <f>SUM(B68:Z68)</f>
        <v>1099304.2999999998</v>
      </c>
      <c r="AB68" s="131">
        <v>38305</v>
      </c>
      <c r="AC68" s="36">
        <f>AA68/AB68</f>
        <v>28.69871557237958</v>
      </c>
    </row>
    <row r="69" spans="1:29" ht="15.75">
      <c r="A69" s="30" t="s">
        <v>10</v>
      </c>
      <c r="B69" s="27">
        <v>63579.28</v>
      </c>
      <c r="C69" s="27"/>
      <c r="D69" s="27"/>
      <c r="E69" s="27"/>
      <c r="F69" s="27">
        <f>42199+42948</f>
        <v>85147</v>
      </c>
      <c r="G69" s="27">
        <v>72963</v>
      </c>
      <c r="H69" s="27">
        <f>224335+3136+98870</f>
        <v>326341</v>
      </c>
      <c r="I69" s="52">
        <f>280754.26+15200</f>
        <v>295954.26</v>
      </c>
      <c r="J69" s="27"/>
      <c r="K69" s="27">
        <f>16000+16100</f>
        <v>32100</v>
      </c>
      <c r="L69" s="121">
        <v>88370</v>
      </c>
      <c r="M69" s="27">
        <v>199245</v>
      </c>
      <c r="N69" s="27">
        <v>4800</v>
      </c>
      <c r="O69" s="27">
        <v>10232</v>
      </c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8">
        <f aca="true" t="shared" si="2" ref="AA69:AA132">SUM(B69:Z69)</f>
        <v>1178731.54</v>
      </c>
      <c r="AB69" s="37">
        <v>84186</v>
      </c>
      <c r="AC69" s="36">
        <f aca="true" t="shared" si="3" ref="AC69:AC132">AA69/AB69</f>
        <v>14.001514978737557</v>
      </c>
    </row>
    <row r="70" spans="1:29" ht="15.75">
      <c r="A70" s="30" t="s">
        <v>11</v>
      </c>
      <c r="B70" s="27">
        <v>184438.69</v>
      </c>
      <c r="C70" s="27">
        <f>44072+36400</f>
        <v>80472</v>
      </c>
      <c r="D70" s="27"/>
      <c r="E70" s="27">
        <v>8000000</v>
      </c>
      <c r="F70" s="27">
        <f>116781+120432</f>
        <v>237213</v>
      </c>
      <c r="G70" s="27">
        <v>100586</v>
      </c>
      <c r="H70" s="27">
        <f>315519+71453.29+114320</f>
        <v>501292.29</v>
      </c>
      <c r="I70" s="52">
        <f>424717.15+15200</f>
        <v>439917.15</v>
      </c>
      <c r="J70" s="27"/>
      <c r="K70" s="27">
        <f>24000+5175+14421</f>
        <v>43596</v>
      </c>
      <c r="L70" s="121">
        <v>131734</v>
      </c>
      <c r="M70" s="27">
        <v>300601</v>
      </c>
      <c r="N70" s="27">
        <v>4800</v>
      </c>
      <c r="O70" s="27">
        <v>32943</v>
      </c>
      <c r="P70" s="27"/>
      <c r="Q70" s="27"/>
      <c r="R70" s="27">
        <v>183678</v>
      </c>
      <c r="S70" s="27"/>
      <c r="T70" s="27"/>
      <c r="U70" s="27"/>
      <c r="V70" s="27"/>
      <c r="W70" s="27"/>
      <c r="X70" s="27"/>
      <c r="Y70" s="27"/>
      <c r="Z70" s="27"/>
      <c r="AA70" s="28">
        <f t="shared" si="2"/>
        <v>10241271.13</v>
      </c>
      <c r="AB70" s="37">
        <v>128283</v>
      </c>
      <c r="AC70" s="36">
        <f t="shared" si="3"/>
        <v>79.8334239922671</v>
      </c>
    </row>
    <row r="71" spans="1:29" ht="15.75">
      <c r="A71" s="30" t="s">
        <v>12</v>
      </c>
      <c r="B71" s="27">
        <v>30270.67</v>
      </c>
      <c r="C71" s="27">
        <f>98666+27000</f>
        <v>125666</v>
      </c>
      <c r="D71" s="27"/>
      <c r="E71" s="27"/>
      <c r="F71" s="27">
        <f>4120+4068</f>
        <v>8188</v>
      </c>
      <c r="G71" s="27">
        <v>30931</v>
      </c>
      <c r="H71" s="27">
        <v>85591</v>
      </c>
      <c r="I71" s="52">
        <v>69311.22</v>
      </c>
      <c r="J71" s="27"/>
      <c r="K71" s="27"/>
      <c r="L71" s="121">
        <v>29994</v>
      </c>
      <c r="M71" s="27">
        <v>38976</v>
      </c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8">
        <f t="shared" si="2"/>
        <v>418927.89</v>
      </c>
      <c r="AB71" s="132">
        <v>17215</v>
      </c>
      <c r="AC71" s="36">
        <f t="shared" si="3"/>
        <v>24.335050246877724</v>
      </c>
    </row>
    <row r="72" spans="1:29" ht="15.75">
      <c r="A72" s="30" t="s">
        <v>13</v>
      </c>
      <c r="B72" s="27">
        <v>29504.13</v>
      </c>
      <c r="C72" s="27">
        <v>55890</v>
      </c>
      <c r="D72" s="27"/>
      <c r="E72" s="27"/>
      <c r="F72" s="27">
        <f>3870+3824</f>
        <v>7694</v>
      </c>
      <c r="G72" s="27">
        <v>27285</v>
      </c>
      <c r="H72" s="27">
        <v>73553</v>
      </c>
      <c r="I72" s="52">
        <v>55965.6</v>
      </c>
      <c r="J72" s="27"/>
      <c r="K72" s="27">
        <f>6000+3000</f>
        <v>9000</v>
      </c>
      <c r="L72" s="121">
        <v>29929</v>
      </c>
      <c r="M72" s="27">
        <v>26920</v>
      </c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8">
        <f t="shared" si="2"/>
        <v>315740.73</v>
      </c>
      <c r="AB72" s="132">
        <v>11400</v>
      </c>
      <c r="AC72" s="36">
        <f t="shared" si="3"/>
        <v>27.696555263157894</v>
      </c>
    </row>
    <row r="73" spans="1:29" ht="15.75">
      <c r="A73" s="30" t="s">
        <v>14</v>
      </c>
      <c r="B73" s="27">
        <v>39798.61</v>
      </c>
      <c r="C73" s="27">
        <f>78948+105228</f>
        <v>184176</v>
      </c>
      <c r="D73" s="27"/>
      <c r="E73" s="27"/>
      <c r="F73" s="27">
        <f>52856+44568</f>
        <v>97424</v>
      </c>
      <c r="G73" s="27">
        <v>40137</v>
      </c>
      <c r="H73" s="27">
        <v>115979</v>
      </c>
      <c r="I73" s="52">
        <v>115621.66</v>
      </c>
      <c r="J73" s="27"/>
      <c r="K73" s="27">
        <v>2000</v>
      </c>
      <c r="L73" s="121">
        <v>42780</v>
      </c>
      <c r="M73" s="27">
        <v>73484</v>
      </c>
      <c r="N73" s="27"/>
      <c r="O73" s="27">
        <v>14911</v>
      </c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8">
        <f t="shared" si="2"/>
        <v>726311.27</v>
      </c>
      <c r="AB73" s="132">
        <v>31894</v>
      </c>
      <c r="AC73" s="36">
        <f t="shared" si="3"/>
        <v>22.772661629146548</v>
      </c>
    </row>
    <row r="74" spans="1:29" ht="15.75">
      <c r="A74" s="30" t="s">
        <v>15</v>
      </c>
      <c r="B74" s="27">
        <v>30661.97</v>
      </c>
      <c r="C74" s="27">
        <f>168400+225000</f>
        <v>393400</v>
      </c>
      <c r="D74" s="27"/>
      <c r="E74" s="27"/>
      <c r="F74" s="27">
        <f>6821+6668</f>
        <v>13489</v>
      </c>
      <c r="G74" s="27">
        <v>28730</v>
      </c>
      <c r="H74" s="27">
        <v>78325</v>
      </c>
      <c r="I74" s="52">
        <v>58237.6</v>
      </c>
      <c r="J74" s="27"/>
      <c r="K74" s="27"/>
      <c r="L74" s="121">
        <v>26937</v>
      </c>
      <c r="M74" s="27">
        <v>31475</v>
      </c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8">
        <f t="shared" si="2"/>
        <v>661255.57</v>
      </c>
      <c r="AB74" s="132">
        <v>13705</v>
      </c>
      <c r="AC74" s="36">
        <f t="shared" si="3"/>
        <v>48.2492207223641</v>
      </c>
    </row>
    <row r="75" spans="1:29" ht="15.75">
      <c r="A75" s="30" t="s">
        <v>16</v>
      </c>
      <c r="B75" s="27">
        <v>118943.12</v>
      </c>
      <c r="C75" s="27">
        <v>7650</v>
      </c>
      <c r="D75" s="27">
        <v>280000</v>
      </c>
      <c r="E75" s="27">
        <v>16000000</v>
      </c>
      <c r="F75" s="27">
        <f>95648+97470</f>
        <v>193118</v>
      </c>
      <c r="G75" s="27">
        <v>138948</v>
      </c>
      <c r="H75" s="27">
        <f>442150+114320</f>
        <v>556470</v>
      </c>
      <c r="I75" s="52">
        <f>617701.01+22800</f>
        <v>640501.01</v>
      </c>
      <c r="J75" s="27">
        <v>382791.06</v>
      </c>
      <c r="K75" s="27">
        <f>30000+18400+40000</f>
        <v>88400</v>
      </c>
      <c r="L75" s="121">
        <v>185014</v>
      </c>
      <c r="M75" s="27"/>
      <c r="N75" s="27">
        <v>7200</v>
      </c>
      <c r="O75" s="27">
        <v>23537</v>
      </c>
      <c r="P75" s="27">
        <v>227592</v>
      </c>
      <c r="Q75" s="27">
        <v>100000</v>
      </c>
      <c r="R75" s="27"/>
      <c r="S75" s="27"/>
      <c r="T75" s="27"/>
      <c r="U75" s="27">
        <f>880000+400000</f>
        <v>1280000</v>
      </c>
      <c r="V75" s="27"/>
      <c r="W75" s="27"/>
      <c r="X75" s="27"/>
      <c r="Y75" s="27"/>
      <c r="Z75" s="27"/>
      <c r="AA75" s="28">
        <f t="shared" si="2"/>
        <v>20230164.189999998</v>
      </c>
      <c r="AB75" s="132">
        <v>189453</v>
      </c>
      <c r="AC75" s="36">
        <f t="shared" si="3"/>
        <v>106.78196803428817</v>
      </c>
    </row>
    <row r="76" spans="1:29" ht="15.75">
      <c r="A76" s="30" t="s">
        <v>17</v>
      </c>
      <c r="B76" s="27">
        <v>56737.23</v>
      </c>
      <c r="C76" s="27">
        <f>287024+35000+153000+78799</f>
        <v>553823</v>
      </c>
      <c r="D76" s="27"/>
      <c r="E76" s="27"/>
      <c r="F76" s="27">
        <f>12761+12498</f>
        <v>25259</v>
      </c>
      <c r="G76" s="27">
        <v>61285</v>
      </c>
      <c r="H76" s="27">
        <f>185787+3468.76+87182</f>
        <v>276437.76</v>
      </c>
      <c r="I76" s="52">
        <v>222007.29</v>
      </c>
      <c r="J76" s="27"/>
      <c r="K76" s="27"/>
      <c r="L76" s="121">
        <v>72151</v>
      </c>
      <c r="M76" s="27">
        <v>154078</v>
      </c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8">
        <f t="shared" si="2"/>
        <v>1421778.28</v>
      </c>
      <c r="AB76" s="132">
        <v>65615</v>
      </c>
      <c r="AC76" s="36">
        <f t="shared" si="3"/>
        <v>21.668494703954888</v>
      </c>
    </row>
    <row r="77" spans="1:29" ht="15.75">
      <c r="A77" s="30" t="s">
        <v>18</v>
      </c>
      <c r="B77" s="27">
        <v>26313.41</v>
      </c>
      <c r="C77" s="27"/>
      <c r="D77" s="27"/>
      <c r="E77" s="27"/>
      <c r="F77" s="27">
        <f>2828+2808</f>
        <v>5636</v>
      </c>
      <c r="G77" s="27">
        <v>23301</v>
      </c>
      <c r="H77" s="27">
        <v>60404</v>
      </c>
      <c r="I77" s="52">
        <v>30925.82</v>
      </c>
      <c r="J77" s="27"/>
      <c r="K77" s="27"/>
      <c r="L77" s="121">
        <v>19397</v>
      </c>
      <c r="M77" s="27">
        <v>11635</v>
      </c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8">
        <f t="shared" si="2"/>
        <v>177612.23</v>
      </c>
      <c r="AB77" s="132">
        <v>5048</v>
      </c>
      <c r="AC77" s="36">
        <f t="shared" si="3"/>
        <v>35.18467313787639</v>
      </c>
    </row>
    <row r="78" spans="1:29" ht="15.75">
      <c r="A78" s="30" t="s">
        <v>19</v>
      </c>
      <c r="B78" s="27">
        <v>26941.81</v>
      </c>
      <c r="C78" s="27"/>
      <c r="D78" s="27"/>
      <c r="E78" s="27"/>
      <c r="F78" s="27">
        <f>27077+27848</f>
        <v>54925</v>
      </c>
      <c r="G78" s="27">
        <v>24086</v>
      </c>
      <c r="H78" s="27">
        <v>62994</v>
      </c>
      <c r="I78" s="52">
        <v>34872.57</v>
      </c>
      <c r="J78" s="27"/>
      <c r="K78" s="27"/>
      <c r="L78" s="121">
        <v>20486</v>
      </c>
      <c r="M78" s="27">
        <v>14306</v>
      </c>
      <c r="N78" s="27"/>
      <c r="O78" s="27">
        <v>7638</v>
      </c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8">
        <f t="shared" si="2"/>
        <v>246249.38</v>
      </c>
      <c r="AB78" s="132">
        <v>6299</v>
      </c>
      <c r="AC78" s="36">
        <f t="shared" si="3"/>
        <v>39.093408477536116</v>
      </c>
    </row>
    <row r="79" spans="1:29" ht="15.75">
      <c r="A79" s="30" t="s">
        <v>6</v>
      </c>
      <c r="B79" s="27">
        <v>54103.07</v>
      </c>
      <c r="C79" s="27">
        <f>431250+84375+175455</f>
        <v>691080</v>
      </c>
      <c r="D79" s="27"/>
      <c r="E79" s="27"/>
      <c r="F79" s="27">
        <f>11901+11659</f>
        <v>23560</v>
      </c>
      <c r="G79" s="27">
        <v>57996</v>
      </c>
      <c r="H79" s="27">
        <v>174931</v>
      </c>
      <c r="I79" s="52">
        <v>205463.11</v>
      </c>
      <c r="J79" s="27"/>
      <c r="K79" s="27"/>
      <c r="L79" s="121">
        <v>67583</v>
      </c>
      <c r="M79" s="27">
        <v>142195</v>
      </c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8">
        <f t="shared" si="2"/>
        <v>1416911.18</v>
      </c>
      <c r="AB79" s="132">
        <v>60371</v>
      </c>
      <c r="AC79" s="36">
        <f t="shared" si="3"/>
        <v>23.470063109771246</v>
      </c>
    </row>
    <row r="80" spans="1:29" ht="15.75">
      <c r="A80" s="30" t="s">
        <v>20</v>
      </c>
      <c r="B80" s="27">
        <v>27229.14</v>
      </c>
      <c r="C80" s="27">
        <f>73581+162728+36000</f>
        <v>272309</v>
      </c>
      <c r="D80" s="27"/>
      <c r="E80" s="27"/>
      <c r="F80" s="27">
        <f>3127+3099</f>
        <v>6226</v>
      </c>
      <c r="G80" s="27">
        <v>24444</v>
      </c>
      <c r="H80" s="27">
        <v>64178</v>
      </c>
      <c r="I80" s="52">
        <v>36677.16</v>
      </c>
      <c r="J80" s="27">
        <v>85930.31</v>
      </c>
      <c r="K80" s="27"/>
      <c r="L80" s="121">
        <v>20985</v>
      </c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8">
        <f t="shared" si="2"/>
        <v>537978.6100000001</v>
      </c>
      <c r="AB80" s="132">
        <v>6871</v>
      </c>
      <c r="AC80" s="36">
        <f t="shared" si="3"/>
        <v>78.29698879347985</v>
      </c>
    </row>
    <row r="81" spans="1:29" ht="15.75">
      <c r="A81" s="30" t="s">
        <v>21</v>
      </c>
      <c r="B81" s="27">
        <v>39096.37</v>
      </c>
      <c r="C81" s="27">
        <f>111780+106200+126315</f>
        <v>344295</v>
      </c>
      <c r="D81" s="27"/>
      <c r="E81" s="27"/>
      <c r="F81" s="27">
        <f>7001+6879</f>
        <v>13880</v>
      </c>
      <c r="G81" s="27">
        <v>39260</v>
      </c>
      <c r="H81" s="27">
        <v>113085</v>
      </c>
      <c r="I81" s="52">
        <v>111211.14</v>
      </c>
      <c r="J81" s="27"/>
      <c r="K81" s="27"/>
      <c r="L81" s="121">
        <v>41562</v>
      </c>
      <c r="M81" s="27">
        <v>71866</v>
      </c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8">
        <f t="shared" si="2"/>
        <v>774255.51</v>
      </c>
      <c r="AB81" s="132">
        <v>30496</v>
      </c>
      <c r="AC81" s="36">
        <f t="shared" si="3"/>
        <v>25.38875623032529</v>
      </c>
    </row>
    <row r="82" spans="1:29" ht="15.75">
      <c r="A82" s="30" t="s">
        <v>22</v>
      </c>
      <c r="B82" s="27">
        <v>32501.45</v>
      </c>
      <c r="C82" s="27">
        <v>290323</v>
      </c>
      <c r="D82" s="27"/>
      <c r="E82" s="27"/>
      <c r="F82" s="27">
        <f>54944+56610</f>
        <v>111554</v>
      </c>
      <c r="G82" s="27">
        <v>31027</v>
      </c>
      <c r="H82" s="27">
        <v>85906</v>
      </c>
      <c r="I82" s="27">
        <v>69790.76</v>
      </c>
      <c r="J82" s="27"/>
      <c r="K82" s="27"/>
      <c r="L82" s="121">
        <v>30127</v>
      </c>
      <c r="M82" s="27">
        <v>39339</v>
      </c>
      <c r="N82" s="27"/>
      <c r="O82" s="27">
        <v>15500</v>
      </c>
      <c r="P82" s="27"/>
      <c r="Q82" s="27"/>
      <c r="R82" s="27">
        <v>10859</v>
      </c>
      <c r="S82" s="27"/>
      <c r="T82" s="27"/>
      <c r="U82" s="27"/>
      <c r="V82" s="27"/>
      <c r="W82" s="27"/>
      <c r="X82" s="27"/>
      <c r="Y82" s="27"/>
      <c r="Z82" s="27"/>
      <c r="AA82" s="28">
        <f t="shared" si="2"/>
        <v>716927.21</v>
      </c>
      <c r="AB82" s="132">
        <v>17367</v>
      </c>
      <c r="AC82" s="36">
        <f t="shared" si="3"/>
        <v>41.2810047791789</v>
      </c>
    </row>
    <row r="83" spans="1:29" ht="15.75">
      <c r="A83" s="30" t="s">
        <v>23</v>
      </c>
      <c r="B83" s="27">
        <v>33029.89</v>
      </c>
      <c r="C83" s="27">
        <f>374697+198000+154681+36000+84231</f>
        <v>847609</v>
      </c>
      <c r="D83" s="27"/>
      <c r="E83" s="27"/>
      <c r="F83" s="27">
        <f>5021+4947</f>
        <v>9968</v>
      </c>
      <c r="G83" s="27">
        <v>31686</v>
      </c>
      <c r="H83" s="27">
        <f>88084+59944</f>
        <v>148028</v>
      </c>
      <c r="I83" s="52">
        <v>78109.69</v>
      </c>
      <c r="J83" s="27"/>
      <c r="K83" s="27">
        <f>1009+2600</f>
        <v>3609</v>
      </c>
      <c r="L83" s="121">
        <v>36043</v>
      </c>
      <c r="M83" s="27">
        <v>41940</v>
      </c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8">
        <f t="shared" si="2"/>
        <v>1230022.58</v>
      </c>
      <c r="AB83" s="132">
        <v>18419</v>
      </c>
      <c r="AC83" s="36">
        <f t="shared" si="3"/>
        <v>66.78009555350454</v>
      </c>
    </row>
    <row r="84" spans="1:29" ht="15.75">
      <c r="A84" s="30" t="s">
        <v>24</v>
      </c>
      <c r="B84" s="27">
        <v>37329.22</v>
      </c>
      <c r="C84" s="27">
        <f>22500+112568</f>
        <v>135068</v>
      </c>
      <c r="D84" s="27"/>
      <c r="E84" s="27"/>
      <c r="F84" s="27">
        <f>22253+19304</f>
        <v>41557</v>
      </c>
      <c r="G84" s="27">
        <v>37054</v>
      </c>
      <c r="H84" s="27">
        <v>105802</v>
      </c>
      <c r="I84" s="27"/>
      <c r="J84" s="27"/>
      <c r="K84" s="27"/>
      <c r="L84" s="121">
        <v>38498</v>
      </c>
      <c r="M84" s="27">
        <v>59737</v>
      </c>
      <c r="N84" s="27"/>
      <c r="O84" s="27">
        <v>4720</v>
      </c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8">
        <f t="shared" si="2"/>
        <v>459765.22</v>
      </c>
      <c r="AB84" s="132">
        <v>26978</v>
      </c>
      <c r="AC84" s="36">
        <f t="shared" si="3"/>
        <v>17.042227741122396</v>
      </c>
    </row>
    <row r="85" spans="1:29" ht="15.75">
      <c r="A85" s="30" t="s">
        <v>25</v>
      </c>
      <c r="B85" s="27">
        <v>31625.42</v>
      </c>
      <c r="C85" s="27">
        <f>29160+44550</f>
        <v>73710</v>
      </c>
      <c r="D85" s="27"/>
      <c r="E85" s="27"/>
      <c r="F85" s="27">
        <f>15453+8410</f>
        <v>23863</v>
      </c>
      <c r="G85" s="27">
        <v>29933</v>
      </c>
      <c r="H85" s="27">
        <v>82296</v>
      </c>
      <c r="I85" s="52">
        <v>64288.65</v>
      </c>
      <c r="J85" s="27"/>
      <c r="K85" s="27"/>
      <c r="L85" s="121">
        <v>28608</v>
      </c>
      <c r="M85" s="27">
        <v>36234</v>
      </c>
      <c r="N85" s="27"/>
      <c r="O85" s="27">
        <v>6975</v>
      </c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8">
        <f t="shared" si="2"/>
        <v>377533.07</v>
      </c>
      <c r="AB85" s="132">
        <v>15623</v>
      </c>
      <c r="AC85" s="36">
        <f t="shared" si="3"/>
        <v>24.165209626832237</v>
      </c>
    </row>
    <row r="86" spans="1:29" ht="15.75">
      <c r="A86" s="30" t="s">
        <v>26</v>
      </c>
      <c r="B86" s="27">
        <v>26966.93</v>
      </c>
      <c r="C86" s="27">
        <v>23670</v>
      </c>
      <c r="D86" s="27"/>
      <c r="E86" s="27"/>
      <c r="F86" s="27">
        <f>3041+3016</f>
        <v>6057</v>
      </c>
      <c r="G86" s="27">
        <v>24117</v>
      </c>
      <c r="H86" s="27">
        <v>63097</v>
      </c>
      <c r="I86" s="52">
        <v>35030.32</v>
      </c>
      <c r="J86" s="27"/>
      <c r="K86" s="27"/>
      <c r="L86" s="121">
        <v>20530</v>
      </c>
      <c r="M86" s="27">
        <v>14478</v>
      </c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8">
        <f t="shared" si="2"/>
        <v>213946.25</v>
      </c>
      <c r="AB86" s="132">
        <v>6349</v>
      </c>
      <c r="AC86" s="36">
        <f t="shared" si="3"/>
        <v>33.69762954796031</v>
      </c>
    </row>
    <row r="87" spans="1:29" ht="15.75">
      <c r="A87" s="30" t="s">
        <v>27</v>
      </c>
      <c r="B87" s="27">
        <v>49435.05</v>
      </c>
      <c r="C87" s="27">
        <f>228780+70003</f>
        <v>298783</v>
      </c>
      <c r="D87" s="27"/>
      <c r="E87" s="27"/>
      <c r="F87" s="27">
        <f>10377+10172</f>
        <v>20549</v>
      </c>
      <c r="G87" s="27">
        <v>52168</v>
      </c>
      <c r="H87" s="27">
        <v>155693</v>
      </c>
      <c r="I87" s="52">
        <f>176144.83+7600</f>
        <v>183744.83</v>
      </c>
      <c r="J87" s="27"/>
      <c r="K87" s="27">
        <f>9000+11500</f>
        <v>20500</v>
      </c>
      <c r="L87" s="121">
        <v>59489</v>
      </c>
      <c r="M87" s="27">
        <v>118285</v>
      </c>
      <c r="N87" s="27">
        <v>2400</v>
      </c>
      <c r="O87" s="27">
        <v>12300</v>
      </c>
      <c r="P87" s="27"/>
      <c r="Q87" s="27">
        <v>50000</v>
      </c>
      <c r="R87" s="27"/>
      <c r="S87" s="27"/>
      <c r="T87" s="27"/>
      <c r="U87" s="27"/>
      <c r="V87" s="27"/>
      <c r="W87" s="27"/>
      <c r="X87" s="27"/>
      <c r="Y87" s="27"/>
      <c r="Z87" s="27"/>
      <c r="AA87" s="28">
        <f t="shared" si="2"/>
        <v>1023346.88</v>
      </c>
      <c r="AB87" s="132">
        <v>51078</v>
      </c>
      <c r="AC87" s="36">
        <f t="shared" si="3"/>
        <v>20.034983358784604</v>
      </c>
    </row>
    <row r="88" spans="1:29" ht="15.75">
      <c r="A88" s="30" t="s">
        <v>28</v>
      </c>
      <c r="B88" s="27">
        <v>34889.47</v>
      </c>
      <c r="C88" s="27">
        <f>125929+66240</f>
        <v>192169</v>
      </c>
      <c r="D88" s="27"/>
      <c r="E88" s="27"/>
      <c r="F88" s="27">
        <f>26853.5+6060+27492</f>
        <v>60405.5</v>
      </c>
      <c r="G88" s="27">
        <v>34008</v>
      </c>
      <c r="H88" s="27">
        <f>95747+100000</f>
        <v>195747</v>
      </c>
      <c r="I88" s="52">
        <v>84789.05</v>
      </c>
      <c r="J88" s="27"/>
      <c r="K88" s="27"/>
      <c r="L88" s="121">
        <v>34267</v>
      </c>
      <c r="M88" s="27">
        <v>51988</v>
      </c>
      <c r="N88" s="27"/>
      <c r="O88" s="27">
        <v>12120</v>
      </c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8">
        <f t="shared" si="2"/>
        <v>700383.02</v>
      </c>
      <c r="AB88" s="132">
        <v>22121</v>
      </c>
      <c r="AC88" s="36">
        <f t="shared" si="3"/>
        <v>31.661453822159938</v>
      </c>
    </row>
    <row r="89" spans="1:29" ht="15.75">
      <c r="A89" s="30" t="s">
        <v>29</v>
      </c>
      <c r="B89" s="27">
        <v>38467.97</v>
      </c>
      <c r="C89" s="27">
        <v>195784</v>
      </c>
      <c r="D89" s="27"/>
      <c r="E89" s="27"/>
      <c r="F89" s="27">
        <f>21862+1475+1664+12669</f>
        <v>37670</v>
      </c>
      <c r="G89" s="27">
        <v>38476</v>
      </c>
      <c r="H89" s="27">
        <v>110495</v>
      </c>
      <c r="I89" s="52">
        <v>107264.39</v>
      </c>
      <c r="J89" s="27"/>
      <c r="K89" s="27"/>
      <c r="L89" s="121">
        <v>40472</v>
      </c>
      <c r="M89" s="27">
        <v>66895</v>
      </c>
      <c r="N89" s="27"/>
      <c r="O89" s="27">
        <v>3328</v>
      </c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8">
        <f t="shared" si="2"/>
        <v>638852.36</v>
      </c>
      <c r="AB89" s="132">
        <v>29245</v>
      </c>
      <c r="AC89" s="36">
        <f t="shared" si="3"/>
        <v>21.844840485553085</v>
      </c>
    </row>
    <row r="90" spans="1:29" ht="15.75">
      <c r="A90" s="30" t="s">
        <v>30</v>
      </c>
      <c r="B90" s="27">
        <v>27256.76</v>
      </c>
      <c r="C90" s="27"/>
      <c r="D90" s="27"/>
      <c r="E90" s="27"/>
      <c r="F90" s="27">
        <f>43531+54380</f>
        <v>97911</v>
      </c>
      <c r="G90" s="27">
        <v>24479</v>
      </c>
      <c r="H90" s="27">
        <v>64292</v>
      </c>
      <c r="I90" s="52">
        <v>41850.68</v>
      </c>
      <c r="J90" s="27"/>
      <c r="K90" s="27">
        <v>5000</v>
      </c>
      <c r="L90" s="121">
        <v>26033</v>
      </c>
      <c r="M90" s="27">
        <v>16636</v>
      </c>
      <c r="N90" s="27"/>
      <c r="O90" s="27">
        <v>14034</v>
      </c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8">
        <f t="shared" si="2"/>
        <v>317492.44</v>
      </c>
      <c r="AB90" s="132">
        <v>6926</v>
      </c>
      <c r="AC90" s="36">
        <f t="shared" si="3"/>
        <v>45.840664164019636</v>
      </c>
    </row>
    <row r="91" spans="1:29" ht="15.75">
      <c r="A91" s="30" t="s">
        <v>31</v>
      </c>
      <c r="B91" s="27">
        <v>30042.62</v>
      </c>
      <c r="C91" s="27">
        <f>264169+34242+82025</f>
        <v>380436</v>
      </c>
      <c r="D91" s="27"/>
      <c r="E91" s="27"/>
      <c r="F91" s="27">
        <f>4045+3996</f>
        <v>8041</v>
      </c>
      <c r="G91" s="27">
        <v>27957</v>
      </c>
      <c r="H91" s="27">
        <v>75773</v>
      </c>
      <c r="I91" s="52">
        <v>54347.63</v>
      </c>
      <c r="J91" s="27"/>
      <c r="K91" s="27"/>
      <c r="L91" s="121">
        <v>25863</v>
      </c>
      <c r="M91" s="27">
        <v>28057</v>
      </c>
      <c r="N91" s="27"/>
      <c r="O91" s="27">
        <v>5600</v>
      </c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8">
        <f t="shared" si="2"/>
        <v>636117.25</v>
      </c>
      <c r="AB91" s="132">
        <v>12471</v>
      </c>
      <c r="AC91" s="36">
        <f t="shared" si="3"/>
        <v>51.00771790554086</v>
      </c>
    </row>
    <row r="92" spans="1:29" ht="15.75">
      <c r="A92" s="30" t="s">
        <v>32</v>
      </c>
      <c r="B92" s="27">
        <v>145506.59</v>
      </c>
      <c r="C92" s="27">
        <f>507360+301339+187605</f>
        <v>996304</v>
      </c>
      <c r="D92" s="27"/>
      <c r="E92" s="27"/>
      <c r="F92" s="27">
        <f>9388+9208</f>
        <v>18596</v>
      </c>
      <c r="G92" s="27">
        <v>45251</v>
      </c>
      <c r="H92" s="27">
        <f>132861+98870</f>
        <v>231731</v>
      </c>
      <c r="I92" s="52">
        <v>141349.69</v>
      </c>
      <c r="J92" s="27">
        <v>138047.27</v>
      </c>
      <c r="K92" s="27"/>
      <c r="L92" s="121">
        <v>49883</v>
      </c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8">
        <f t="shared" si="2"/>
        <v>1766668.55</v>
      </c>
      <c r="AB92" s="132">
        <v>40099</v>
      </c>
      <c r="AC92" s="36">
        <f t="shared" si="3"/>
        <v>44.05767101423976</v>
      </c>
    </row>
    <row r="93" spans="1:29" ht="15.75">
      <c r="A93" s="30" t="s">
        <v>33</v>
      </c>
      <c r="B93" s="27">
        <v>341581.92</v>
      </c>
      <c r="C93" s="27">
        <v>182872</v>
      </c>
      <c r="D93" s="27">
        <v>280000</v>
      </c>
      <c r="E93" s="27"/>
      <c r="F93" s="27">
        <f>76368+30642+23869</f>
        <v>130879</v>
      </c>
      <c r="G93" s="27">
        <v>145051</v>
      </c>
      <c r="H93" s="27">
        <v>462295</v>
      </c>
      <c r="I93" s="52">
        <f>648401.12+30400</f>
        <v>678801.12</v>
      </c>
      <c r="J93" s="27"/>
      <c r="K93" s="27">
        <f>30000+23000+40000</f>
        <v>93000</v>
      </c>
      <c r="L93" s="121">
        <v>193489</v>
      </c>
      <c r="M93" s="27">
        <v>474937</v>
      </c>
      <c r="N93" s="27">
        <v>9600</v>
      </c>
      <c r="O93" s="27">
        <v>11284</v>
      </c>
      <c r="P93" s="27"/>
      <c r="Q93" s="27"/>
      <c r="R93" s="27"/>
      <c r="S93" s="27"/>
      <c r="T93" s="27"/>
      <c r="U93" s="27">
        <v>220000</v>
      </c>
      <c r="V93" s="27"/>
      <c r="W93" s="27"/>
      <c r="X93" s="27"/>
      <c r="Y93" s="27">
        <v>170000</v>
      </c>
      <c r="Z93" s="27"/>
      <c r="AA93" s="28">
        <f t="shared" si="2"/>
        <v>3393790.04</v>
      </c>
      <c r="AB93" s="132">
        <v>199184</v>
      </c>
      <c r="AC93" s="36">
        <f t="shared" si="3"/>
        <v>17.038467145955497</v>
      </c>
    </row>
    <row r="94" spans="1:29" ht="15.75">
      <c r="A94" s="30" t="s">
        <v>34</v>
      </c>
      <c r="B94" s="27">
        <v>282587.91</v>
      </c>
      <c r="C94" s="27">
        <f>435584+246229</f>
        <v>681813</v>
      </c>
      <c r="D94" s="27"/>
      <c r="E94" s="27"/>
      <c r="F94" s="27">
        <f>104633+128380</f>
        <v>233013</v>
      </c>
      <c r="G94" s="27">
        <v>183130</v>
      </c>
      <c r="H94" s="27">
        <f>587992+50466.9</f>
        <v>638458.9</v>
      </c>
      <c r="I94" s="52">
        <f>839962.12+15960</f>
        <v>855922.12</v>
      </c>
      <c r="J94" s="27">
        <v>503816.47</v>
      </c>
      <c r="K94" s="27">
        <f>21000+18000+17250</f>
        <v>56250</v>
      </c>
      <c r="L94" s="121">
        <v>246376</v>
      </c>
      <c r="M94" s="27"/>
      <c r="N94" s="27">
        <v>5040</v>
      </c>
      <c r="O94" s="27">
        <v>26409</v>
      </c>
      <c r="P94" s="27"/>
      <c r="Q94" s="27">
        <v>49903.37</v>
      </c>
      <c r="R94" s="27"/>
      <c r="S94" s="27"/>
      <c r="T94" s="27"/>
      <c r="U94" s="27">
        <v>176000</v>
      </c>
      <c r="V94" s="27"/>
      <c r="W94" s="27"/>
      <c r="X94" s="27"/>
      <c r="Y94" s="27"/>
      <c r="Z94" s="27"/>
      <c r="AA94" s="28">
        <f t="shared" si="2"/>
        <v>3938719.7700000005</v>
      </c>
      <c r="AB94" s="132">
        <v>259903</v>
      </c>
      <c r="AC94" s="36">
        <f t="shared" si="3"/>
        <v>15.154576014897868</v>
      </c>
    </row>
    <row r="95" spans="1:29" ht="15.75">
      <c r="A95" s="30" t="s">
        <v>35</v>
      </c>
      <c r="B95" s="27">
        <v>30133.03</v>
      </c>
      <c r="C95" s="27">
        <v>55053</v>
      </c>
      <c r="D95" s="27"/>
      <c r="E95" s="27"/>
      <c r="F95" s="27">
        <f>17098+9090</f>
        <v>26188</v>
      </c>
      <c r="G95" s="27">
        <v>28070</v>
      </c>
      <c r="H95" s="27">
        <v>76145</v>
      </c>
      <c r="I95" s="52">
        <v>54915.51</v>
      </c>
      <c r="J95" s="27"/>
      <c r="K95" s="27"/>
      <c r="L95" s="121">
        <v>26020</v>
      </c>
      <c r="M95" s="27">
        <v>30542</v>
      </c>
      <c r="N95" s="27"/>
      <c r="O95" s="27">
        <v>6628</v>
      </c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8">
        <f t="shared" si="2"/>
        <v>333694.54</v>
      </c>
      <c r="AB95" s="132">
        <v>12652</v>
      </c>
      <c r="AC95" s="36">
        <f t="shared" si="3"/>
        <v>26.374845083781217</v>
      </c>
    </row>
    <row r="96" spans="1:29" ht="15.75">
      <c r="A96" s="30" t="s">
        <v>36</v>
      </c>
      <c r="B96" s="27">
        <v>32265.37</v>
      </c>
      <c r="C96" s="27">
        <f>121500+84299</f>
        <v>205799</v>
      </c>
      <c r="D96" s="27"/>
      <c r="E96" s="27"/>
      <c r="F96" s="27">
        <f>4771+4704</f>
        <v>9475</v>
      </c>
      <c r="G96" s="27">
        <v>30732</v>
      </c>
      <c r="H96" s="27">
        <v>84933</v>
      </c>
      <c r="I96" s="52">
        <f>73307.96+3800</f>
        <v>77107.96</v>
      </c>
      <c r="J96" s="27">
        <v>101929.74</v>
      </c>
      <c r="K96" s="27">
        <f>5000+3680+3950</f>
        <v>12630</v>
      </c>
      <c r="L96" s="121">
        <v>34717</v>
      </c>
      <c r="M96" s="27"/>
      <c r="N96" s="27">
        <v>1200</v>
      </c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8">
        <f t="shared" si="2"/>
        <v>590789.0700000001</v>
      </c>
      <c r="AB96" s="132">
        <v>16897</v>
      </c>
      <c r="AC96" s="36">
        <f t="shared" si="3"/>
        <v>34.96413978812807</v>
      </c>
    </row>
    <row r="97" spans="1:29" ht="15.75">
      <c r="A97" s="30" t="s">
        <v>37</v>
      </c>
      <c r="B97" s="27">
        <v>26943.82</v>
      </c>
      <c r="C97" s="27">
        <v>80082</v>
      </c>
      <c r="D97" s="27"/>
      <c r="E97" s="27"/>
      <c r="F97" s="27">
        <f>32531+34098</f>
        <v>66629</v>
      </c>
      <c r="G97" s="27">
        <v>24088</v>
      </c>
      <c r="H97" s="27">
        <v>63002</v>
      </c>
      <c r="I97" s="52">
        <v>34885.19</v>
      </c>
      <c r="J97" s="27"/>
      <c r="K97" s="27"/>
      <c r="L97" s="121">
        <v>20490</v>
      </c>
      <c r="M97" s="27">
        <v>14618</v>
      </c>
      <c r="N97" s="27"/>
      <c r="O97" s="27">
        <v>9346</v>
      </c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8">
        <f t="shared" si="2"/>
        <v>340084.01</v>
      </c>
      <c r="AB97" s="132">
        <v>6303</v>
      </c>
      <c r="AC97" s="36">
        <f t="shared" si="3"/>
        <v>53.95589560526734</v>
      </c>
    </row>
    <row r="98" spans="1:29" ht="15.75">
      <c r="A98" s="30" t="s">
        <v>38</v>
      </c>
      <c r="B98" s="27">
        <v>26335.01</v>
      </c>
      <c r="C98" s="27"/>
      <c r="D98" s="27"/>
      <c r="E98" s="27"/>
      <c r="F98" s="27">
        <f>2835+2815</f>
        <v>5650</v>
      </c>
      <c r="G98" s="27">
        <v>23328</v>
      </c>
      <c r="H98" s="27">
        <v>60493</v>
      </c>
      <c r="I98" s="52">
        <v>31061.48</v>
      </c>
      <c r="J98" s="27"/>
      <c r="K98" s="27"/>
      <c r="L98" s="121">
        <v>19434</v>
      </c>
      <c r="M98" s="27">
        <v>11762</v>
      </c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8">
        <f t="shared" si="2"/>
        <v>178063.49</v>
      </c>
      <c r="AB98" s="132">
        <v>5091</v>
      </c>
      <c r="AC98" s="36">
        <f t="shared" si="3"/>
        <v>34.97613239049303</v>
      </c>
    </row>
    <row r="99" spans="1:29" ht="15.75">
      <c r="A99" s="30" t="s">
        <v>39</v>
      </c>
      <c r="B99" s="27">
        <v>40988.09</v>
      </c>
      <c r="C99" s="27">
        <f>103332+69768+50535</f>
        <v>223635</v>
      </c>
      <c r="D99" s="27"/>
      <c r="E99" s="27"/>
      <c r="F99" s="27">
        <f>28584+36879</f>
        <v>65463</v>
      </c>
      <c r="G99" s="27">
        <v>41622</v>
      </c>
      <c r="H99" s="27">
        <v>120881</v>
      </c>
      <c r="I99" s="52">
        <v>123092.41</v>
      </c>
      <c r="J99" s="27">
        <v>131869.27</v>
      </c>
      <c r="K99" s="27"/>
      <c r="L99" s="121">
        <v>44842</v>
      </c>
      <c r="M99" s="27"/>
      <c r="N99" s="27"/>
      <c r="O99" s="27">
        <v>10751</v>
      </c>
      <c r="P99" s="27"/>
      <c r="Q99" s="27">
        <v>49986.66</v>
      </c>
      <c r="R99" s="27">
        <v>25000</v>
      </c>
      <c r="S99" s="27"/>
      <c r="T99" s="27"/>
      <c r="U99" s="27"/>
      <c r="V99" s="27"/>
      <c r="W99" s="27"/>
      <c r="X99" s="27"/>
      <c r="Y99" s="27"/>
      <c r="Z99" s="27"/>
      <c r="AA99" s="28">
        <f t="shared" si="2"/>
        <v>878130.43</v>
      </c>
      <c r="AB99" s="132">
        <v>34262</v>
      </c>
      <c r="AC99" s="36">
        <f t="shared" si="3"/>
        <v>25.629864864864867</v>
      </c>
    </row>
    <row r="100" spans="1:29" ht="15.75">
      <c r="A100" s="30" t="s">
        <v>40</v>
      </c>
      <c r="B100" s="27">
        <v>28307.1</v>
      </c>
      <c r="C100" s="27">
        <v>106473</v>
      </c>
      <c r="D100" s="27"/>
      <c r="E100" s="27"/>
      <c r="F100" s="27">
        <f>3479+3443</f>
        <v>6922</v>
      </c>
      <c r="G100" s="27">
        <v>25790</v>
      </c>
      <c r="H100" s="27">
        <v>68620</v>
      </c>
      <c r="I100" s="52">
        <v>43447.53</v>
      </c>
      <c r="J100" s="27"/>
      <c r="K100" s="27"/>
      <c r="L100" s="121">
        <v>22854</v>
      </c>
      <c r="M100" s="27">
        <v>20451</v>
      </c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8">
        <f t="shared" si="2"/>
        <v>322864.63</v>
      </c>
      <c r="AB100" s="132">
        <v>9017</v>
      </c>
      <c r="AC100" s="36">
        <f t="shared" si="3"/>
        <v>35.80621381834313</v>
      </c>
    </row>
    <row r="101" spans="1:29" ht="15.75">
      <c r="A101" s="30" t="s">
        <v>41</v>
      </c>
      <c r="B101" s="27">
        <v>48095.38</v>
      </c>
      <c r="C101" s="27">
        <f>568133+255582+32400+69070</f>
        <v>925185</v>
      </c>
      <c r="D101" s="27"/>
      <c r="E101" s="27"/>
      <c r="F101" s="27">
        <f>91843+98732</f>
        <v>190575</v>
      </c>
      <c r="G101" s="27">
        <v>50496</v>
      </c>
      <c r="H101" s="27">
        <v>150172</v>
      </c>
      <c r="I101" s="52">
        <f>167730.77+10640</f>
        <v>178370.77</v>
      </c>
      <c r="J101" s="27"/>
      <c r="K101" s="27">
        <f>12000+5175+5000</f>
        <v>22175</v>
      </c>
      <c r="L101" s="121">
        <v>57166</v>
      </c>
      <c r="M101" s="27">
        <v>109380</v>
      </c>
      <c r="N101" s="27">
        <v>3360</v>
      </c>
      <c r="O101" s="27">
        <v>27013</v>
      </c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8">
        <f t="shared" si="2"/>
        <v>1761988.15</v>
      </c>
      <c r="AB101" s="132">
        <v>48411</v>
      </c>
      <c r="AC101" s="36">
        <f t="shared" si="3"/>
        <v>36.39644192435603</v>
      </c>
    </row>
    <row r="102" spans="1:29" ht="15.75">
      <c r="A102" s="30" t="s">
        <v>42</v>
      </c>
      <c r="B102" s="27">
        <v>32013.2</v>
      </c>
      <c r="C102" s="27">
        <f>86400+87480+50962</f>
        <v>224842</v>
      </c>
      <c r="D102" s="27"/>
      <c r="E102" s="27"/>
      <c r="F102" s="27">
        <f>18472+13409</f>
        <v>31881</v>
      </c>
      <c r="G102" s="27">
        <v>30417</v>
      </c>
      <c r="H102" s="27">
        <v>83894</v>
      </c>
      <c r="I102" s="52">
        <v>66724.22</v>
      </c>
      <c r="J102" s="27"/>
      <c r="K102" s="27"/>
      <c r="L102" s="121">
        <v>29280</v>
      </c>
      <c r="M102" s="27">
        <v>37266</v>
      </c>
      <c r="N102" s="27"/>
      <c r="O102" s="27">
        <v>3205</v>
      </c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8">
        <f t="shared" si="2"/>
        <v>539522.42</v>
      </c>
      <c r="AB102" s="132">
        <v>16395</v>
      </c>
      <c r="AC102" s="36">
        <f t="shared" si="3"/>
        <v>32.90774138456847</v>
      </c>
    </row>
    <row r="103" spans="1:29" ht="15.75">
      <c r="A103" s="30" t="s">
        <v>43</v>
      </c>
      <c r="B103" s="27">
        <v>36101.05</v>
      </c>
      <c r="C103" s="27">
        <v>511988</v>
      </c>
      <c r="D103" s="27"/>
      <c r="E103" s="27"/>
      <c r="F103" s="27">
        <f>15855+17994</f>
        <v>33849</v>
      </c>
      <c r="G103" s="27">
        <v>35521</v>
      </c>
      <c r="H103" s="27">
        <v>100741</v>
      </c>
      <c r="I103" s="52">
        <v>97398.61</v>
      </c>
      <c r="J103" s="27"/>
      <c r="K103" s="27"/>
      <c r="L103" s="121">
        <v>41368</v>
      </c>
      <c r="M103" s="27">
        <v>56871</v>
      </c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8">
        <f t="shared" si="2"/>
        <v>913837.66</v>
      </c>
      <c r="AB103" s="132">
        <v>24533</v>
      </c>
      <c r="AC103" s="36">
        <f t="shared" si="3"/>
        <v>37.24932376798598</v>
      </c>
    </row>
    <row r="104" spans="1:29" ht="15.75">
      <c r="A104" s="30" t="s">
        <v>44</v>
      </c>
      <c r="B104" s="27">
        <v>26623.34</v>
      </c>
      <c r="C104" s="27"/>
      <c r="D104" s="27"/>
      <c r="E104" s="27"/>
      <c r="F104" s="27">
        <f>37224+42092</f>
        <v>79316</v>
      </c>
      <c r="G104" s="27">
        <v>23688</v>
      </c>
      <c r="H104" s="27">
        <v>61681</v>
      </c>
      <c r="I104" s="52">
        <v>37872.38</v>
      </c>
      <c r="J104" s="27"/>
      <c r="K104" s="27"/>
      <c r="L104" s="121">
        <v>24934</v>
      </c>
      <c r="M104" s="27">
        <v>13177</v>
      </c>
      <c r="N104" s="27"/>
      <c r="O104" s="27">
        <v>10285</v>
      </c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8">
        <f t="shared" si="2"/>
        <v>277576.72</v>
      </c>
      <c r="AB104" s="132">
        <v>5665</v>
      </c>
      <c r="AC104" s="36">
        <f t="shared" si="3"/>
        <v>48.998538393645184</v>
      </c>
    </row>
    <row r="105" spans="1:29" ht="15.75">
      <c r="A105" s="30" t="s">
        <v>45</v>
      </c>
      <c r="B105" s="27">
        <v>28795.37</v>
      </c>
      <c r="C105" s="27"/>
      <c r="D105" s="27"/>
      <c r="E105" s="27"/>
      <c r="F105" s="27">
        <f>73074+54523</f>
        <v>127597</v>
      </c>
      <c r="G105" s="27">
        <v>26400</v>
      </c>
      <c r="H105" s="27">
        <v>70632</v>
      </c>
      <c r="I105" s="52">
        <v>51514.07</v>
      </c>
      <c r="J105" s="27"/>
      <c r="K105" s="27"/>
      <c r="L105" s="121">
        <v>28700</v>
      </c>
      <c r="M105" s="27">
        <v>22965</v>
      </c>
      <c r="N105" s="27"/>
      <c r="O105" s="27">
        <v>13316</v>
      </c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8">
        <f t="shared" si="2"/>
        <v>369919.44</v>
      </c>
      <c r="AB105" s="132">
        <v>9989</v>
      </c>
      <c r="AC105" s="36">
        <f t="shared" si="3"/>
        <v>37.03267994794274</v>
      </c>
    </row>
    <row r="106" spans="1:29" ht="15.75">
      <c r="A106" s="30" t="s">
        <v>46</v>
      </c>
      <c r="B106" s="27">
        <v>34576.53</v>
      </c>
      <c r="C106" s="27">
        <v>142476</v>
      </c>
      <c r="D106" s="27"/>
      <c r="E106" s="27">
        <v>1500000</v>
      </c>
      <c r="F106" s="27">
        <f>32067+5440</f>
        <v>37507</v>
      </c>
      <c r="G106" s="27">
        <v>33617</v>
      </c>
      <c r="H106" s="27">
        <v>94458</v>
      </c>
      <c r="I106" s="52">
        <v>87823.56</v>
      </c>
      <c r="J106" s="27"/>
      <c r="K106" s="27"/>
      <c r="L106" s="121">
        <v>38725</v>
      </c>
      <c r="M106" s="27">
        <v>50685</v>
      </c>
      <c r="N106" s="27"/>
      <c r="O106" s="27"/>
      <c r="P106" s="27"/>
      <c r="Q106" s="27"/>
      <c r="R106" s="27"/>
      <c r="S106" s="27"/>
      <c r="T106" s="27"/>
      <c r="U106" s="27">
        <v>220000</v>
      </c>
      <c r="V106" s="27"/>
      <c r="W106" s="27"/>
      <c r="X106" s="27"/>
      <c r="Y106" s="27"/>
      <c r="Z106" s="27"/>
      <c r="AA106" s="28">
        <f t="shared" si="2"/>
        <v>2239868.09</v>
      </c>
      <c r="AB106" s="132">
        <v>21498</v>
      </c>
      <c r="AC106" s="36">
        <f t="shared" si="3"/>
        <v>104.18960321890408</v>
      </c>
    </row>
    <row r="107" spans="1:29" ht="15.75">
      <c r="A107" s="30" t="s">
        <v>47</v>
      </c>
      <c r="B107" s="27">
        <v>810898.79</v>
      </c>
      <c r="C107" s="27">
        <v>180220</v>
      </c>
      <c r="D107" s="27"/>
      <c r="E107" s="27">
        <v>12000000</v>
      </c>
      <c r="F107" s="27">
        <f>256883+293085+29949</f>
        <v>579917</v>
      </c>
      <c r="G107" s="27">
        <v>628301</v>
      </c>
      <c r="H107" s="27">
        <f>2057481+16905.08</f>
        <v>2074386.08</v>
      </c>
      <c r="I107" s="52">
        <f>3079439.29+26600</f>
        <v>3106039.29</v>
      </c>
      <c r="J107" s="27">
        <v>1125567.97</v>
      </c>
      <c r="K107" s="27">
        <f>35000+20000+13800</f>
        <v>68800</v>
      </c>
      <c r="L107" s="121">
        <v>864651</v>
      </c>
      <c r="M107" s="27"/>
      <c r="N107" s="27">
        <v>8400</v>
      </c>
      <c r="O107" s="27">
        <v>59897</v>
      </c>
      <c r="P107" s="27"/>
      <c r="Q107" s="27">
        <v>149983.81</v>
      </c>
      <c r="R107" s="27"/>
      <c r="S107" s="27"/>
      <c r="T107" s="27"/>
      <c r="U107" s="27"/>
      <c r="V107" s="27"/>
      <c r="W107" s="27"/>
      <c r="X107" s="27"/>
      <c r="Y107" s="27"/>
      <c r="Z107" s="27"/>
      <c r="AA107" s="28">
        <f t="shared" si="2"/>
        <v>21657061.939999998</v>
      </c>
      <c r="AB107" s="132">
        <v>969749</v>
      </c>
      <c r="AC107" s="36">
        <f t="shared" si="3"/>
        <v>22.332646839543013</v>
      </c>
    </row>
    <row r="108" spans="1:29" ht="15.75">
      <c r="A108" s="30" t="s">
        <v>48</v>
      </c>
      <c r="B108" s="27">
        <v>28990.26</v>
      </c>
      <c r="C108" s="27"/>
      <c r="D108" s="27"/>
      <c r="E108" s="27">
        <v>500000</v>
      </c>
      <c r="F108" s="27">
        <f>3702+3660</f>
        <v>7362</v>
      </c>
      <c r="G108" s="27">
        <v>26643</v>
      </c>
      <c r="H108" s="27">
        <f>71436+12174.51</f>
        <v>83610.51</v>
      </c>
      <c r="I108" s="52">
        <v>52738.16</v>
      </c>
      <c r="J108" s="27"/>
      <c r="K108" s="27"/>
      <c r="L108" s="121">
        <v>29038</v>
      </c>
      <c r="M108" s="27">
        <v>24495</v>
      </c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8">
        <f t="shared" si="2"/>
        <v>752876.93</v>
      </c>
      <c r="AB108" s="132">
        <v>10377</v>
      </c>
      <c r="AC108" s="36">
        <f t="shared" si="3"/>
        <v>72.55246506697505</v>
      </c>
    </row>
    <row r="109" spans="1:29" ht="15.75">
      <c r="A109" s="30" t="s">
        <v>49</v>
      </c>
      <c r="B109" s="27">
        <v>151474.96</v>
      </c>
      <c r="C109" s="27">
        <v>19179</v>
      </c>
      <c r="D109" s="27"/>
      <c r="E109" s="27"/>
      <c r="F109" s="27">
        <f>11043+10822</f>
        <v>21865</v>
      </c>
      <c r="G109" s="27">
        <v>54715</v>
      </c>
      <c r="H109" s="27">
        <v>164100</v>
      </c>
      <c r="I109" s="52">
        <v>188956.79</v>
      </c>
      <c r="J109" s="27"/>
      <c r="K109" s="27"/>
      <c r="L109" s="121">
        <v>63026</v>
      </c>
      <c r="M109" s="27">
        <v>136151</v>
      </c>
      <c r="N109" s="27"/>
      <c r="O109" s="27">
        <v>13000</v>
      </c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8">
        <f t="shared" si="2"/>
        <v>812467.75</v>
      </c>
      <c r="AB109" s="132">
        <v>55139</v>
      </c>
      <c r="AC109" s="36">
        <f t="shared" si="3"/>
        <v>14.73490179364878</v>
      </c>
    </row>
    <row r="110" spans="1:29" ht="15.75">
      <c r="A110" s="30" t="s">
        <v>50</v>
      </c>
      <c r="B110" s="27">
        <v>30746.86</v>
      </c>
      <c r="C110" s="27">
        <v>181080</v>
      </c>
      <c r="D110" s="27"/>
      <c r="E110" s="27"/>
      <c r="F110" s="27">
        <f>4275+4220</f>
        <v>8495</v>
      </c>
      <c r="G110" s="27">
        <v>28836</v>
      </c>
      <c r="H110" s="27">
        <v>78675</v>
      </c>
      <c r="I110" s="52">
        <v>58770.77</v>
      </c>
      <c r="J110" s="27"/>
      <c r="K110" s="27"/>
      <c r="L110" s="121">
        <v>27084</v>
      </c>
      <c r="M110" s="27">
        <v>32743</v>
      </c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8">
        <f t="shared" si="2"/>
        <v>446430.63</v>
      </c>
      <c r="AB110" s="132">
        <v>13874</v>
      </c>
      <c r="AC110" s="36">
        <f t="shared" si="3"/>
        <v>32.177499639613664</v>
      </c>
    </row>
    <row r="111" spans="1:29" ht="15.75">
      <c r="A111" s="30" t="s">
        <v>51</v>
      </c>
      <c r="B111" s="27">
        <v>33847.66</v>
      </c>
      <c r="C111" s="27">
        <v>52576</v>
      </c>
      <c r="D111" s="27"/>
      <c r="E111" s="27"/>
      <c r="F111" s="27">
        <f>5288+5208</f>
        <v>10496</v>
      </c>
      <c r="G111" s="27">
        <v>32707</v>
      </c>
      <c r="H111" s="27">
        <v>91454</v>
      </c>
      <c r="I111" s="52">
        <v>78245.83</v>
      </c>
      <c r="J111" s="27"/>
      <c r="K111" s="27"/>
      <c r="L111" s="121">
        <v>32461</v>
      </c>
      <c r="M111" s="27">
        <v>51034</v>
      </c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8">
        <f t="shared" si="2"/>
        <v>382821.49</v>
      </c>
      <c r="AB111" s="132">
        <v>20047</v>
      </c>
      <c r="AC111" s="36">
        <f t="shared" si="3"/>
        <v>19.09619843368085</v>
      </c>
    </row>
    <row r="112" spans="1:29" ht="15.75">
      <c r="A112" s="30" t="s">
        <v>52</v>
      </c>
      <c r="B112" s="27">
        <v>27970.05</v>
      </c>
      <c r="C112" s="27">
        <f>267345+64980</f>
        <v>332325</v>
      </c>
      <c r="D112" s="27"/>
      <c r="E112" s="27"/>
      <c r="F112" s="27">
        <f>69164+59676</f>
        <v>128840</v>
      </c>
      <c r="G112" s="27">
        <v>25369</v>
      </c>
      <c r="H112" s="27">
        <v>67231</v>
      </c>
      <c r="I112" s="52">
        <v>46330.61</v>
      </c>
      <c r="J112" s="27"/>
      <c r="K112" s="27"/>
      <c r="L112" s="121">
        <v>27269</v>
      </c>
      <c r="M112" s="27">
        <v>18775</v>
      </c>
      <c r="N112" s="27"/>
      <c r="O112" s="27">
        <v>16595</v>
      </c>
      <c r="P112" s="27"/>
      <c r="Q112" s="27"/>
      <c r="R112" s="27"/>
      <c r="S112" s="27"/>
      <c r="T112" s="27"/>
      <c r="U112" s="27">
        <v>220000</v>
      </c>
      <c r="V112" s="27"/>
      <c r="W112" s="27"/>
      <c r="X112" s="27"/>
      <c r="Y112" s="27"/>
      <c r="Z112" s="27"/>
      <c r="AA112" s="28">
        <f t="shared" si="2"/>
        <v>910704.66</v>
      </c>
      <c r="AB112" s="132">
        <v>8346</v>
      </c>
      <c r="AC112" s="36">
        <f t="shared" si="3"/>
        <v>109.11869877785766</v>
      </c>
    </row>
    <row r="113" spans="1:29" ht="15.75">
      <c r="A113" s="30" t="s">
        <v>53</v>
      </c>
      <c r="B113" s="27">
        <v>47530.27</v>
      </c>
      <c r="C113" s="27">
        <f>36000+65340</f>
        <v>101340</v>
      </c>
      <c r="D113" s="27"/>
      <c r="E113" s="27"/>
      <c r="F113" s="27">
        <f>117633+126434</f>
        <v>244067</v>
      </c>
      <c r="G113" s="27">
        <v>49790</v>
      </c>
      <c r="H113" s="27">
        <v>147843</v>
      </c>
      <c r="I113" s="52">
        <v>164181.54</v>
      </c>
      <c r="J113" s="27"/>
      <c r="K113" s="27"/>
      <c r="L113" s="121">
        <v>56186</v>
      </c>
      <c r="M113" s="27">
        <v>111371</v>
      </c>
      <c r="N113" s="27"/>
      <c r="O113" s="27">
        <v>34584</v>
      </c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8">
        <f t="shared" si="2"/>
        <v>956892.81</v>
      </c>
      <c r="AB113" s="132">
        <v>47286</v>
      </c>
      <c r="AC113" s="36">
        <f t="shared" si="3"/>
        <v>20.236281563253396</v>
      </c>
    </row>
    <row r="114" spans="1:29" ht="15.75">
      <c r="A114" s="30" t="s">
        <v>54</v>
      </c>
      <c r="B114" s="27">
        <v>53519.38</v>
      </c>
      <c r="C114" s="27">
        <v>95141</v>
      </c>
      <c r="D114" s="27"/>
      <c r="E114" s="27"/>
      <c r="F114" s="27">
        <f>11710+11473</f>
        <v>23183</v>
      </c>
      <c r="G114" s="27">
        <v>57267</v>
      </c>
      <c r="H114" s="27">
        <f>172525+53172.5+88738.55</f>
        <v>314436.05</v>
      </c>
      <c r="I114" s="52">
        <v>201797.14</v>
      </c>
      <c r="J114" s="27"/>
      <c r="K114" s="27"/>
      <c r="L114" s="121">
        <v>66571</v>
      </c>
      <c r="M114" s="27">
        <v>144714</v>
      </c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8">
        <f t="shared" si="2"/>
        <v>956628.57</v>
      </c>
      <c r="AB114" s="132">
        <v>59209</v>
      </c>
      <c r="AC114" s="36">
        <f t="shared" si="3"/>
        <v>16.156810113327364</v>
      </c>
    </row>
    <row r="115" spans="1:29" ht="15.75">
      <c r="A115" s="30" t="s">
        <v>55</v>
      </c>
      <c r="B115" s="27">
        <v>33461.89</v>
      </c>
      <c r="C115" s="27"/>
      <c r="D115" s="27"/>
      <c r="E115" s="27"/>
      <c r="F115" s="27">
        <f>39171+38978</f>
        <v>78149</v>
      </c>
      <c r="G115" s="27">
        <v>32226</v>
      </c>
      <c r="H115" s="27">
        <f>89864+83333</f>
        <v>173197</v>
      </c>
      <c r="I115" s="52">
        <f>75822.88+8360</f>
        <v>84182.88</v>
      </c>
      <c r="J115" s="27">
        <v>106840.45</v>
      </c>
      <c r="K115" s="27">
        <v>11000</v>
      </c>
      <c r="L115" s="121">
        <v>31792</v>
      </c>
      <c r="M115" s="27"/>
      <c r="N115" s="27">
        <v>2640</v>
      </c>
      <c r="O115" s="27">
        <v>10680</v>
      </c>
      <c r="P115" s="27"/>
      <c r="Q115" s="27">
        <v>50000</v>
      </c>
      <c r="R115" s="27"/>
      <c r="S115" s="27"/>
      <c r="T115" s="27"/>
      <c r="U115" s="27"/>
      <c r="V115" s="27"/>
      <c r="W115" s="27"/>
      <c r="X115" s="27"/>
      <c r="Y115" s="27"/>
      <c r="Z115" s="27"/>
      <c r="AA115" s="28">
        <f t="shared" si="2"/>
        <v>614169.22</v>
      </c>
      <c r="AB115" s="132">
        <v>19279</v>
      </c>
      <c r="AC115" s="36">
        <f t="shared" si="3"/>
        <v>31.85690232895897</v>
      </c>
    </row>
    <row r="116" spans="1:29" ht="15.75">
      <c r="A116" s="30" t="s">
        <v>56</v>
      </c>
      <c r="B116" s="27">
        <v>27212.05</v>
      </c>
      <c r="C116" s="27">
        <v>41306</v>
      </c>
      <c r="D116" s="27"/>
      <c r="E116" s="27"/>
      <c r="F116" s="27">
        <f>3121+3094</f>
        <v>6215</v>
      </c>
      <c r="G116" s="27">
        <v>24423</v>
      </c>
      <c r="H116" s="27">
        <v>64107</v>
      </c>
      <c r="I116" s="52">
        <v>36569.9</v>
      </c>
      <c r="J116" s="27"/>
      <c r="K116" s="27"/>
      <c r="L116" s="121">
        <v>20955</v>
      </c>
      <c r="M116" s="27">
        <v>15144</v>
      </c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8">
        <f t="shared" si="2"/>
        <v>235931.94999999998</v>
      </c>
      <c r="AB116" s="132">
        <v>6837</v>
      </c>
      <c r="AC116" s="36">
        <f t="shared" si="3"/>
        <v>34.508110282287554</v>
      </c>
    </row>
    <row r="117" spans="1:29" ht="15.75">
      <c r="A117" s="30" t="s">
        <v>57</v>
      </c>
      <c r="B117" s="27">
        <v>32144.82</v>
      </c>
      <c r="C117" s="27">
        <f>205560+95328+67500</f>
        <v>368388</v>
      </c>
      <c r="D117" s="27"/>
      <c r="E117" s="27"/>
      <c r="F117" s="27">
        <f>18784+12259</f>
        <v>31043</v>
      </c>
      <c r="G117" s="27">
        <v>30581</v>
      </c>
      <c r="H117" s="27">
        <v>84436</v>
      </c>
      <c r="I117" s="52">
        <v>67550.79</v>
      </c>
      <c r="J117" s="27"/>
      <c r="K117" s="27"/>
      <c r="L117" s="121">
        <v>29508</v>
      </c>
      <c r="M117" s="27">
        <v>39258</v>
      </c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8">
        <f t="shared" si="2"/>
        <v>682909.6100000001</v>
      </c>
      <c r="AB117" s="132">
        <v>16657</v>
      </c>
      <c r="AC117" s="36">
        <f t="shared" si="3"/>
        <v>40.998355646274845</v>
      </c>
    </row>
    <row r="118" spans="1:29" ht="15.75">
      <c r="A118" s="30" t="s">
        <v>58</v>
      </c>
      <c r="B118" s="27">
        <v>41248.28</v>
      </c>
      <c r="C118" s="27">
        <v>31500</v>
      </c>
      <c r="D118" s="27"/>
      <c r="E118" s="27"/>
      <c r="F118" s="27">
        <f>47711+43000</f>
        <v>90711</v>
      </c>
      <c r="G118" s="27">
        <v>41947</v>
      </c>
      <c r="H118" s="27">
        <v>121954</v>
      </c>
      <c r="I118" s="52">
        <f>129726.64+9120</f>
        <v>138846.64</v>
      </c>
      <c r="J118" s="27">
        <v>130443.58</v>
      </c>
      <c r="K118" s="27">
        <v>9000</v>
      </c>
      <c r="L118" s="121">
        <v>50293</v>
      </c>
      <c r="M118" s="27"/>
      <c r="N118" s="27">
        <v>2880</v>
      </c>
      <c r="O118" s="27">
        <v>13644</v>
      </c>
      <c r="P118" s="27"/>
      <c r="Q118" s="27">
        <v>24987</v>
      </c>
      <c r="R118" s="27"/>
      <c r="S118" s="27"/>
      <c r="T118" s="27"/>
      <c r="U118" s="27">
        <v>220000</v>
      </c>
      <c r="V118" s="27"/>
      <c r="W118" s="27"/>
      <c r="X118" s="27"/>
      <c r="Y118" s="27"/>
      <c r="Z118" s="27"/>
      <c r="AA118" s="28">
        <f t="shared" si="2"/>
        <v>917454.5</v>
      </c>
      <c r="AB118" s="132">
        <v>34780</v>
      </c>
      <c r="AC118" s="36">
        <f t="shared" si="3"/>
        <v>26.378795284646348</v>
      </c>
    </row>
    <row r="119" spans="1:29" ht="15.75">
      <c r="A119" s="30" t="s">
        <v>59</v>
      </c>
      <c r="B119" s="27">
        <v>32248.28</v>
      </c>
      <c r="C119" s="27"/>
      <c r="D119" s="27"/>
      <c r="E119" s="27"/>
      <c r="F119" s="27">
        <f>49992+45807+8452</f>
        <v>104251</v>
      </c>
      <c r="G119" s="27">
        <v>30711</v>
      </c>
      <c r="H119" s="27">
        <v>84863</v>
      </c>
      <c r="I119" s="52">
        <f>73200.7+7600</f>
        <v>80800.7</v>
      </c>
      <c r="J119" s="27"/>
      <c r="K119" s="27">
        <f>5000+1000</f>
        <v>6000</v>
      </c>
      <c r="L119" s="121">
        <v>34688</v>
      </c>
      <c r="M119" s="27">
        <v>40270</v>
      </c>
      <c r="N119" s="27">
        <v>2400</v>
      </c>
      <c r="O119" s="27">
        <v>16904</v>
      </c>
      <c r="P119" s="27"/>
      <c r="Q119" s="27"/>
      <c r="R119" s="27"/>
      <c r="S119" s="27"/>
      <c r="T119" s="27"/>
      <c r="U119" s="27">
        <v>176000</v>
      </c>
      <c r="V119" s="27"/>
      <c r="W119" s="27"/>
      <c r="X119" s="27"/>
      <c r="Y119" s="27"/>
      <c r="Z119" s="27"/>
      <c r="AA119" s="28">
        <f t="shared" si="2"/>
        <v>609135.98</v>
      </c>
      <c r="AB119" s="132">
        <v>16863</v>
      </c>
      <c r="AC119" s="36">
        <f t="shared" si="3"/>
        <v>36.12263416948348</v>
      </c>
    </row>
    <row r="120" spans="1:29" ht="15.75">
      <c r="A120" s="30" t="s">
        <v>60</v>
      </c>
      <c r="B120" s="27">
        <v>32777.72</v>
      </c>
      <c r="C120" s="27">
        <f>175346+64350+105750</f>
        <v>345446</v>
      </c>
      <c r="D120" s="27"/>
      <c r="E120" s="27"/>
      <c r="F120" s="27">
        <f>4938+4867</f>
        <v>9805</v>
      </c>
      <c r="G120" s="27">
        <v>31372</v>
      </c>
      <c r="H120" s="27">
        <v>87045</v>
      </c>
      <c r="I120" s="52">
        <v>71525.94</v>
      </c>
      <c r="J120" s="27"/>
      <c r="K120" s="27"/>
      <c r="L120" s="121">
        <v>30606</v>
      </c>
      <c r="M120" s="27">
        <v>38176</v>
      </c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8">
        <f t="shared" si="2"/>
        <v>646753.6599999999</v>
      </c>
      <c r="AB120" s="132">
        <v>16881</v>
      </c>
      <c r="AC120" s="36">
        <f t="shared" si="3"/>
        <v>38.31252058527338</v>
      </c>
    </row>
    <row r="121" spans="1:29" ht="15.75">
      <c r="A121" s="30" t="s">
        <v>61</v>
      </c>
      <c r="B121" s="27">
        <v>31435.03</v>
      </c>
      <c r="C121" s="27"/>
      <c r="D121" s="27"/>
      <c r="E121" s="27"/>
      <c r="F121" s="27">
        <f>4500+4439</f>
        <v>8939</v>
      </c>
      <c r="G121" s="27">
        <v>29695</v>
      </c>
      <c r="H121" s="27">
        <v>81511</v>
      </c>
      <c r="I121" s="52">
        <v>63092.95</v>
      </c>
      <c r="J121" s="27"/>
      <c r="K121" s="27"/>
      <c r="L121" s="121">
        <v>28278</v>
      </c>
      <c r="M121" s="27">
        <v>37388</v>
      </c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8">
        <f t="shared" si="2"/>
        <v>280338.98</v>
      </c>
      <c r="AB121" s="132">
        <v>15244</v>
      </c>
      <c r="AC121" s="36">
        <f t="shared" si="3"/>
        <v>18.390119391235896</v>
      </c>
    </row>
    <row r="122" spans="1:29" ht="15.75">
      <c r="A122" s="30" t="s">
        <v>62</v>
      </c>
      <c r="B122" s="27">
        <v>29584.61</v>
      </c>
      <c r="C122" s="27"/>
      <c r="D122" s="27"/>
      <c r="E122" s="27"/>
      <c r="F122" s="27">
        <f>3896+3850</f>
        <v>7746</v>
      </c>
      <c r="G122" s="27">
        <v>27385</v>
      </c>
      <c r="H122" s="27">
        <v>73885</v>
      </c>
      <c r="I122" s="52">
        <v>56470.38</v>
      </c>
      <c r="J122" s="27"/>
      <c r="K122" s="27"/>
      <c r="L122" s="121">
        <v>30069</v>
      </c>
      <c r="M122" s="27">
        <v>26594</v>
      </c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8">
        <f t="shared" si="2"/>
        <v>251733.99</v>
      </c>
      <c r="AB122" s="132">
        <v>11560</v>
      </c>
      <c r="AC122" s="36">
        <f t="shared" si="3"/>
        <v>21.77629671280277</v>
      </c>
    </row>
    <row r="123" spans="1:29" ht="15.75">
      <c r="A123" s="30" t="s">
        <v>63</v>
      </c>
      <c r="B123" s="27">
        <v>42541.75</v>
      </c>
      <c r="C123" s="27">
        <f>72990+202500</f>
        <v>275490</v>
      </c>
      <c r="D123" s="27"/>
      <c r="E123" s="27"/>
      <c r="F123" s="27">
        <f>43553+44522</f>
        <v>88075</v>
      </c>
      <c r="G123" s="27">
        <v>43562</v>
      </c>
      <c r="H123" s="27">
        <v>127284</v>
      </c>
      <c r="I123" s="52">
        <v>132850.45</v>
      </c>
      <c r="J123" s="27">
        <v>133611.78</v>
      </c>
      <c r="K123" s="27"/>
      <c r="L123" s="121">
        <v>47536</v>
      </c>
      <c r="M123" s="27">
        <v>84968</v>
      </c>
      <c r="N123" s="27"/>
      <c r="O123" s="27">
        <v>12196</v>
      </c>
      <c r="P123" s="27"/>
      <c r="Q123" s="27">
        <v>50000</v>
      </c>
      <c r="R123" s="27"/>
      <c r="S123" s="27"/>
      <c r="T123" s="27"/>
      <c r="U123" s="27"/>
      <c r="V123" s="27"/>
      <c r="W123" s="27"/>
      <c r="X123" s="27"/>
      <c r="Y123" s="27"/>
      <c r="Z123" s="27"/>
      <c r="AA123" s="28">
        <f t="shared" si="2"/>
        <v>1038114.98</v>
      </c>
      <c r="AB123" s="132">
        <v>37350</v>
      </c>
      <c r="AC123" s="36">
        <f t="shared" si="3"/>
        <v>27.794243105756358</v>
      </c>
    </row>
    <row r="124" spans="1:29" ht="15.75">
      <c r="A124" s="30" t="s">
        <v>64</v>
      </c>
      <c r="B124" s="27">
        <v>180668.89</v>
      </c>
      <c r="C124" s="27">
        <v>343147</v>
      </c>
      <c r="D124" s="27"/>
      <c r="E124" s="27"/>
      <c r="F124" s="27">
        <f>148525+156812</f>
        <v>305337</v>
      </c>
      <c r="G124" s="27">
        <v>111971</v>
      </c>
      <c r="H124" s="27">
        <f>353100+82000</f>
        <v>435100</v>
      </c>
      <c r="I124" s="52">
        <f>481990.8+25840</f>
        <v>507830.8</v>
      </c>
      <c r="J124" s="27">
        <v>305011.64</v>
      </c>
      <c r="K124" s="27">
        <f>23000+12130+18000</f>
        <v>53130</v>
      </c>
      <c r="L124" s="121">
        <v>147547</v>
      </c>
      <c r="M124" s="27"/>
      <c r="N124" s="27">
        <v>8160</v>
      </c>
      <c r="O124" s="27">
        <v>43565</v>
      </c>
      <c r="P124" s="27"/>
      <c r="Q124" s="27">
        <v>124835.9</v>
      </c>
      <c r="R124" s="27"/>
      <c r="S124" s="27"/>
      <c r="T124" s="27"/>
      <c r="U124" s="27">
        <v>220000</v>
      </c>
      <c r="V124" s="27"/>
      <c r="W124" s="27"/>
      <c r="X124" s="27"/>
      <c r="Y124" s="27"/>
      <c r="Z124" s="27"/>
      <c r="AA124" s="28">
        <f t="shared" si="2"/>
        <v>2786304.23</v>
      </c>
      <c r="AB124" s="132">
        <v>146437</v>
      </c>
      <c r="AC124" s="36">
        <f t="shared" si="3"/>
        <v>19.027323900380367</v>
      </c>
    </row>
    <row r="125" spans="1:29" ht="15.75">
      <c r="A125" s="30" t="s">
        <v>65</v>
      </c>
      <c r="B125" s="27">
        <v>67137.7</v>
      </c>
      <c r="C125" s="27">
        <v>553648</v>
      </c>
      <c r="D125" s="27"/>
      <c r="E125" s="27"/>
      <c r="F125" s="27">
        <f>16156+15811</f>
        <v>31967</v>
      </c>
      <c r="G125" s="27">
        <v>74270</v>
      </c>
      <c r="H125" s="27">
        <v>228649</v>
      </c>
      <c r="I125" s="52">
        <f>292329.03+9120</f>
        <v>301449.03</v>
      </c>
      <c r="J125" s="27"/>
      <c r="K125" s="27">
        <f>12000+5000</f>
        <v>17000</v>
      </c>
      <c r="L125" s="121">
        <v>95185</v>
      </c>
      <c r="M125" s="27">
        <v>211540</v>
      </c>
      <c r="N125" s="27">
        <v>2880</v>
      </c>
      <c r="O125" s="27"/>
      <c r="P125" s="27"/>
      <c r="Q125" s="27"/>
      <c r="R125" s="27"/>
      <c r="S125" s="27"/>
      <c r="T125" s="27"/>
      <c r="U125" s="27">
        <v>176000</v>
      </c>
      <c r="V125" s="27"/>
      <c r="W125" s="27"/>
      <c r="X125" s="27"/>
      <c r="Y125" s="27"/>
      <c r="Z125" s="27"/>
      <c r="AA125" s="28">
        <f t="shared" si="2"/>
        <v>1759725.73</v>
      </c>
      <c r="AB125" s="132">
        <v>86320</v>
      </c>
      <c r="AC125" s="36">
        <f t="shared" si="3"/>
        <v>20.386071941612602</v>
      </c>
    </row>
    <row r="126" spans="1:29" ht="15.75">
      <c r="A126" s="30" t="s">
        <v>66</v>
      </c>
      <c r="B126" s="27">
        <v>44105.47</v>
      </c>
      <c r="C126" s="27">
        <f>388597+157500</f>
        <v>546097</v>
      </c>
      <c r="D126" s="27"/>
      <c r="E126" s="27"/>
      <c r="F126" s="27">
        <f>8637+8475</f>
        <v>17112</v>
      </c>
      <c r="G126" s="27">
        <v>45514</v>
      </c>
      <c r="H126" s="27">
        <f>133729+140000+94012</f>
        <v>367741</v>
      </c>
      <c r="I126" s="52">
        <v>142671.58</v>
      </c>
      <c r="J126" s="27"/>
      <c r="K126" s="27"/>
      <c r="L126" s="121">
        <v>50248</v>
      </c>
      <c r="M126" s="27">
        <v>94013</v>
      </c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8">
        <f t="shared" si="2"/>
        <v>1307502.05</v>
      </c>
      <c r="AB126" s="132">
        <v>40453</v>
      </c>
      <c r="AC126" s="36">
        <f t="shared" si="3"/>
        <v>32.32151014757867</v>
      </c>
    </row>
    <row r="127" spans="1:29" ht="15.75">
      <c r="A127" s="30" t="s">
        <v>8</v>
      </c>
      <c r="B127" s="27">
        <v>185213.97</v>
      </c>
      <c r="C127" s="27">
        <v>171959</v>
      </c>
      <c r="D127" s="27"/>
      <c r="E127" s="27"/>
      <c r="F127" s="27">
        <f>90377+100154</f>
        <v>190531</v>
      </c>
      <c r="G127" s="27">
        <v>184633</v>
      </c>
      <c r="H127" s="27">
        <v>592954</v>
      </c>
      <c r="I127" s="52">
        <f>847524.37+15960</f>
        <v>863484.37</v>
      </c>
      <c r="J127" s="27">
        <v>505400.58</v>
      </c>
      <c r="K127" s="27">
        <f>21000+11500+21000</f>
        <v>53500</v>
      </c>
      <c r="L127" s="121">
        <v>248463</v>
      </c>
      <c r="M127" s="27"/>
      <c r="N127" s="27">
        <v>5040</v>
      </c>
      <c r="O127" s="27">
        <v>17504</v>
      </c>
      <c r="P127" s="27"/>
      <c r="Q127" s="27">
        <v>99962.23</v>
      </c>
      <c r="R127" s="27"/>
      <c r="S127" s="27"/>
      <c r="T127" s="27"/>
      <c r="U127" s="27">
        <v>176000</v>
      </c>
      <c r="V127" s="27"/>
      <c r="W127" s="27"/>
      <c r="X127" s="27"/>
      <c r="Y127" s="27"/>
      <c r="Z127" s="27"/>
      <c r="AA127" s="28">
        <f t="shared" si="2"/>
        <v>3294645.15</v>
      </c>
      <c r="AB127" s="132">
        <v>262300</v>
      </c>
      <c r="AC127" s="36">
        <f t="shared" si="3"/>
        <v>12.56059912314144</v>
      </c>
    </row>
    <row r="128" spans="1:29" ht="15.75">
      <c r="A128" s="30" t="s">
        <v>67</v>
      </c>
      <c r="B128" s="27">
        <v>52876.93</v>
      </c>
      <c r="C128" s="27">
        <f>12852+75870+86751+91782+64890</f>
        <v>332145</v>
      </c>
      <c r="D128" s="27"/>
      <c r="E128" s="27"/>
      <c r="F128" s="27">
        <f>81774+90908</f>
        <v>172682</v>
      </c>
      <c r="G128" s="27">
        <v>56465</v>
      </c>
      <c r="H128" s="27">
        <f>169878+45500</f>
        <v>215378</v>
      </c>
      <c r="I128" s="52">
        <v>197762.05</v>
      </c>
      <c r="J128" s="27">
        <v>164660.19</v>
      </c>
      <c r="K128" s="27">
        <f>13000+3000</f>
        <v>16000</v>
      </c>
      <c r="L128" s="121">
        <v>65457</v>
      </c>
      <c r="M128" s="27"/>
      <c r="N128" s="27"/>
      <c r="O128" s="27">
        <v>24874</v>
      </c>
      <c r="P128" s="27"/>
      <c r="Q128" s="27">
        <v>50000</v>
      </c>
      <c r="R128" s="27">
        <v>80732</v>
      </c>
      <c r="S128" s="27"/>
      <c r="T128" s="27"/>
      <c r="U128" s="27"/>
      <c r="V128" s="27"/>
      <c r="W128" s="27"/>
      <c r="X128" s="27"/>
      <c r="Y128" s="27"/>
      <c r="Z128" s="27"/>
      <c r="AA128" s="28">
        <f t="shared" si="2"/>
        <v>1429032.17</v>
      </c>
      <c r="AB128" s="132">
        <v>57930</v>
      </c>
      <c r="AC128" s="36">
        <f t="shared" si="3"/>
        <v>24.668257724840323</v>
      </c>
    </row>
    <row r="129" spans="1:29" ht="15.75">
      <c r="A129" s="30" t="s">
        <v>68</v>
      </c>
      <c r="B129" s="27">
        <v>25051.59</v>
      </c>
      <c r="C129" s="27"/>
      <c r="D129" s="27"/>
      <c r="E129" s="27"/>
      <c r="F129" s="27">
        <f>2416+2406</f>
        <v>4822</v>
      </c>
      <c r="G129" s="27">
        <v>21726</v>
      </c>
      <c r="H129" s="27">
        <v>55204</v>
      </c>
      <c r="I129" s="52">
        <v>23000.77</v>
      </c>
      <c r="J129" s="27"/>
      <c r="K129" s="27">
        <f>2000+4500</f>
        <v>6500</v>
      </c>
      <c r="L129" s="121">
        <v>17209</v>
      </c>
      <c r="M129" s="27">
        <v>5550</v>
      </c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8">
        <f t="shared" si="2"/>
        <v>159063.36</v>
      </c>
      <c r="AB129" s="132">
        <v>2536</v>
      </c>
      <c r="AC129" s="36">
        <f t="shared" si="3"/>
        <v>62.72214511041009</v>
      </c>
    </row>
    <row r="130" spans="1:29" ht="15.75">
      <c r="A130" s="30" t="s">
        <v>69</v>
      </c>
      <c r="B130" s="27">
        <v>35006.51</v>
      </c>
      <c r="C130" s="27">
        <v>66492</v>
      </c>
      <c r="D130" s="27"/>
      <c r="E130" s="27"/>
      <c r="F130" s="27">
        <f>146646+176110</f>
        <v>322756</v>
      </c>
      <c r="G130" s="27">
        <v>34154</v>
      </c>
      <c r="H130" s="27">
        <v>96230</v>
      </c>
      <c r="I130" s="52">
        <f>90524.13+8360</f>
        <v>98884.13</v>
      </c>
      <c r="J130" s="27">
        <v>110325.48</v>
      </c>
      <c r="K130" s="27">
        <f>6000+2760</f>
        <v>8760</v>
      </c>
      <c r="L130" s="121">
        <v>39470</v>
      </c>
      <c r="M130" s="27"/>
      <c r="N130" s="27">
        <v>2640</v>
      </c>
      <c r="O130" s="27">
        <v>42959</v>
      </c>
      <c r="P130" s="27"/>
      <c r="Q130" s="27">
        <v>3387.12</v>
      </c>
      <c r="R130" s="27"/>
      <c r="S130" s="27"/>
      <c r="T130" s="27"/>
      <c r="U130" s="27"/>
      <c r="V130" s="27"/>
      <c r="W130" s="27"/>
      <c r="X130" s="27"/>
      <c r="Y130" s="27"/>
      <c r="Z130" s="27"/>
      <c r="AA130" s="28">
        <f t="shared" si="2"/>
        <v>861064.24</v>
      </c>
      <c r="AB130" s="132">
        <v>22277</v>
      </c>
      <c r="AC130" s="36">
        <f t="shared" si="3"/>
        <v>38.65261211114603</v>
      </c>
    </row>
    <row r="131" spans="1:29" ht="15.75">
      <c r="A131" s="30" t="s">
        <v>70</v>
      </c>
      <c r="B131" s="27">
        <v>38710.59</v>
      </c>
      <c r="C131" s="27">
        <f>14642+112500</f>
        <v>127142</v>
      </c>
      <c r="D131" s="27"/>
      <c r="E131" s="27"/>
      <c r="F131" s="27">
        <f>19877+7653+8456</f>
        <v>35986</v>
      </c>
      <c r="G131" s="27">
        <v>38779</v>
      </c>
      <c r="H131" s="27">
        <v>111495</v>
      </c>
      <c r="I131" s="52">
        <v>113788.2</v>
      </c>
      <c r="J131" s="27">
        <v>123315.12</v>
      </c>
      <c r="K131" s="27"/>
      <c r="L131" s="121">
        <v>45893</v>
      </c>
      <c r="M131" s="27"/>
      <c r="N131" s="27"/>
      <c r="O131" s="27">
        <v>3052</v>
      </c>
      <c r="P131" s="27"/>
      <c r="Q131" s="27">
        <v>25000</v>
      </c>
      <c r="R131" s="27"/>
      <c r="S131" s="27"/>
      <c r="T131" s="27"/>
      <c r="U131" s="27">
        <v>220000</v>
      </c>
      <c r="V131" s="27"/>
      <c r="W131" s="27"/>
      <c r="X131" s="27"/>
      <c r="Y131" s="27"/>
      <c r="Z131" s="27"/>
      <c r="AA131" s="28">
        <f t="shared" si="2"/>
        <v>883160.9099999999</v>
      </c>
      <c r="AB131" s="132">
        <v>29728</v>
      </c>
      <c r="AC131" s="36">
        <f t="shared" si="3"/>
        <v>29.70804998654467</v>
      </c>
    </row>
    <row r="132" spans="1:29" ht="15.75">
      <c r="A132" s="30" t="s">
        <v>71</v>
      </c>
      <c r="B132" s="27">
        <v>172939.15</v>
      </c>
      <c r="C132" s="27"/>
      <c r="D132" s="27"/>
      <c r="E132" s="27"/>
      <c r="F132" s="27">
        <f>124612+142203</f>
        <v>266815</v>
      </c>
      <c r="G132" s="27">
        <v>50302</v>
      </c>
      <c r="H132" s="27">
        <v>149532</v>
      </c>
      <c r="I132" s="52">
        <f>171755.92+9120</f>
        <v>180875.92</v>
      </c>
      <c r="J132" s="27">
        <v>157056.5</v>
      </c>
      <c r="K132" s="27">
        <f>12000+5500+6900</f>
        <v>24400</v>
      </c>
      <c r="L132" s="121">
        <f>61897+20000</f>
        <v>81897</v>
      </c>
      <c r="M132" s="27"/>
      <c r="N132" s="27">
        <v>2880</v>
      </c>
      <c r="O132" s="27">
        <v>34692</v>
      </c>
      <c r="P132" s="27"/>
      <c r="Q132" s="27"/>
      <c r="R132" s="27">
        <v>36173</v>
      </c>
      <c r="S132" s="27"/>
      <c r="T132" s="27"/>
      <c r="U132" s="27">
        <v>220000</v>
      </c>
      <c r="V132" s="27"/>
      <c r="W132" s="27"/>
      <c r="X132" s="27"/>
      <c r="Y132" s="27"/>
      <c r="Z132" s="27"/>
      <c r="AA132" s="28">
        <f t="shared" si="2"/>
        <v>1377562.57</v>
      </c>
      <c r="AB132" s="132">
        <v>48102</v>
      </c>
      <c r="AC132" s="36">
        <f t="shared" si="3"/>
        <v>28.638363685501645</v>
      </c>
    </row>
    <row r="133" spans="1:29" ht="15.75">
      <c r="A133" s="30" t="s">
        <v>72</v>
      </c>
      <c r="B133" s="27">
        <v>27108.08</v>
      </c>
      <c r="C133" s="27">
        <v>28890</v>
      </c>
      <c r="D133" s="27"/>
      <c r="E133" s="27"/>
      <c r="F133" s="27">
        <f>3087+3061</f>
        <v>6148</v>
      </c>
      <c r="G133" s="27">
        <v>24293</v>
      </c>
      <c r="H133" s="27">
        <v>63679</v>
      </c>
      <c r="I133" s="52">
        <v>40916.84</v>
      </c>
      <c r="J133" s="27"/>
      <c r="K133" s="27"/>
      <c r="L133" s="121">
        <v>25775</v>
      </c>
      <c r="M133" s="27">
        <v>15071</v>
      </c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8">
        <f aca="true" t="shared" si="4" ref="AA133:AA196">SUM(B133:Z133)</f>
        <v>231880.92</v>
      </c>
      <c r="AB133" s="132">
        <v>6630</v>
      </c>
      <c r="AC133" s="36">
        <f aca="true" t="shared" si="5" ref="AC133:AC196">AA133/AB133</f>
        <v>34.97449773755656</v>
      </c>
    </row>
    <row r="134" spans="1:29" ht="15.75">
      <c r="A134" s="30" t="s">
        <v>73</v>
      </c>
      <c r="B134" s="27">
        <v>32218.15</v>
      </c>
      <c r="C134" s="27"/>
      <c r="D134" s="27"/>
      <c r="E134" s="27"/>
      <c r="F134" s="27">
        <f>4756+17508</f>
        <v>22264</v>
      </c>
      <c r="G134" s="27">
        <v>30673</v>
      </c>
      <c r="H134" s="27">
        <f>84738+83333</f>
        <v>168071</v>
      </c>
      <c r="I134" s="52">
        <f>68011.41+7600</f>
        <v>75611.41</v>
      </c>
      <c r="J134" s="27"/>
      <c r="K134" s="27">
        <f>6000+6000+17250</f>
        <v>29250</v>
      </c>
      <c r="L134" s="121">
        <v>29635</v>
      </c>
      <c r="M134" s="27">
        <v>40578</v>
      </c>
      <c r="N134" s="27">
        <v>2400</v>
      </c>
      <c r="O134" s="27">
        <v>12820</v>
      </c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8">
        <f t="shared" si="4"/>
        <v>443520.56</v>
      </c>
      <c r="AB134" s="132">
        <v>16803</v>
      </c>
      <c r="AC134" s="36">
        <f t="shared" si="5"/>
        <v>26.395319883354162</v>
      </c>
    </row>
    <row r="135" spans="1:29" ht="15.75">
      <c r="A135" s="30" t="s">
        <v>74</v>
      </c>
      <c r="B135" s="27">
        <v>30381.18</v>
      </c>
      <c r="C135" s="27">
        <v>87822</v>
      </c>
      <c r="D135" s="27"/>
      <c r="E135" s="27"/>
      <c r="F135" s="27">
        <f>4156+4103</f>
        <v>8259</v>
      </c>
      <c r="G135" s="27">
        <v>28380</v>
      </c>
      <c r="H135" s="27">
        <v>77168</v>
      </c>
      <c r="I135" s="52">
        <v>61474.02</v>
      </c>
      <c r="J135" s="27"/>
      <c r="K135" s="27">
        <f>8000+5750</f>
        <v>13750</v>
      </c>
      <c r="L135" s="121">
        <v>31450</v>
      </c>
      <c r="M135" s="27">
        <v>31764</v>
      </c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8">
        <f t="shared" si="4"/>
        <v>370448.2</v>
      </c>
      <c r="AB135" s="132">
        <v>13146</v>
      </c>
      <c r="AC135" s="36">
        <f t="shared" si="5"/>
        <v>28.17953750190172</v>
      </c>
    </row>
    <row r="136" spans="1:29" ht="15.75">
      <c r="A136" s="30" t="s">
        <v>75</v>
      </c>
      <c r="B136" s="27">
        <v>29588.02</v>
      </c>
      <c r="C136" s="27">
        <v>86406</v>
      </c>
      <c r="D136" s="27"/>
      <c r="E136" s="27"/>
      <c r="F136" s="27">
        <f>3897+3851</f>
        <v>7748</v>
      </c>
      <c r="G136" s="27">
        <v>27389</v>
      </c>
      <c r="H136" s="27">
        <v>73899</v>
      </c>
      <c r="I136" s="52">
        <v>56492.47</v>
      </c>
      <c r="J136" s="27"/>
      <c r="K136" s="27">
        <v>5000</v>
      </c>
      <c r="L136" s="121">
        <v>30075</v>
      </c>
      <c r="M136" s="27">
        <v>26343</v>
      </c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8">
        <f t="shared" si="4"/>
        <v>342940.49</v>
      </c>
      <c r="AB136" s="132">
        <v>11567</v>
      </c>
      <c r="AC136" s="36">
        <f t="shared" si="5"/>
        <v>29.64817930319011</v>
      </c>
    </row>
    <row r="137" spans="1:29" ht="15.75">
      <c r="A137" s="30" t="s">
        <v>76</v>
      </c>
      <c r="B137" s="27">
        <v>35626.87</v>
      </c>
      <c r="C137" s="27">
        <f>73269+133389</f>
        <v>206658</v>
      </c>
      <c r="D137" s="27"/>
      <c r="E137" s="27"/>
      <c r="F137" s="27">
        <f>5869+5774</f>
        <v>11643</v>
      </c>
      <c r="G137" s="27">
        <v>36810</v>
      </c>
      <c r="H137" s="27">
        <v>104997</v>
      </c>
      <c r="I137" s="52">
        <v>98885.04</v>
      </c>
      <c r="J137" s="27"/>
      <c r="K137" s="27"/>
      <c r="L137" s="121">
        <v>38159</v>
      </c>
      <c r="M137" s="27">
        <v>53766</v>
      </c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8">
        <f t="shared" si="4"/>
        <v>586544.9099999999</v>
      </c>
      <c r="AB137" s="132">
        <v>23589</v>
      </c>
      <c r="AC137" s="36">
        <f t="shared" si="5"/>
        <v>24.865187587434818</v>
      </c>
    </row>
    <row r="138" spans="1:29" ht="15.75">
      <c r="A138" s="30" t="s">
        <v>77</v>
      </c>
      <c r="B138" s="27">
        <v>27227.12</v>
      </c>
      <c r="C138" s="27">
        <v>49185</v>
      </c>
      <c r="D138" s="27"/>
      <c r="E138" s="27"/>
      <c r="F138" s="27">
        <f>3126+3099</f>
        <v>6225</v>
      </c>
      <c r="G138" s="27">
        <v>24442</v>
      </c>
      <c r="H138" s="27">
        <v>64169</v>
      </c>
      <c r="I138" s="52">
        <v>36664.54</v>
      </c>
      <c r="J138" s="27"/>
      <c r="K138" s="27"/>
      <c r="L138" s="121">
        <v>20981</v>
      </c>
      <c r="M138" s="27">
        <v>15880</v>
      </c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8">
        <f t="shared" si="4"/>
        <v>244773.66</v>
      </c>
      <c r="AB138" s="132">
        <v>6867</v>
      </c>
      <c r="AC138" s="36">
        <f t="shared" si="5"/>
        <v>35.644919178680645</v>
      </c>
    </row>
    <row r="139" spans="1:29" ht="15.75">
      <c r="A139" s="30" t="s">
        <v>78</v>
      </c>
      <c r="B139" s="27">
        <v>108970.12</v>
      </c>
      <c r="C139" s="27">
        <v>549814</v>
      </c>
      <c r="D139" s="27"/>
      <c r="E139" s="27">
        <v>4300000</v>
      </c>
      <c r="F139" s="27">
        <f>87825+94319</f>
        <v>182144</v>
      </c>
      <c r="G139" s="27">
        <v>126497</v>
      </c>
      <c r="H139" s="27">
        <v>401049</v>
      </c>
      <c r="I139" s="52">
        <v>555064.07</v>
      </c>
      <c r="J139" s="27">
        <v>401008.24</v>
      </c>
      <c r="K139" s="27">
        <v>15000</v>
      </c>
      <c r="L139" s="121">
        <v>167721</v>
      </c>
      <c r="M139" s="27"/>
      <c r="N139" s="27"/>
      <c r="O139" s="27">
        <v>23546</v>
      </c>
      <c r="P139" s="27"/>
      <c r="Q139" s="27">
        <v>99899.5</v>
      </c>
      <c r="R139" s="27"/>
      <c r="S139" s="27"/>
      <c r="T139" s="27"/>
      <c r="U139" s="27"/>
      <c r="V139" s="27"/>
      <c r="W139" s="27"/>
      <c r="X139" s="27"/>
      <c r="Y139" s="27"/>
      <c r="Z139" s="27"/>
      <c r="AA139" s="28">
        <f t="shared" si="4"/>
        <v>6930712.930000001</v>
      </c>
      <c r="AB139" s="132">
        <v>169599</v>
      </c>
      <c r="AC139" s="36">
        <f t="shared" si="5"/>
        <v>40.8652936043255</v>
      </c>
    </row>
    <row r="140" spans="1:29" ht="15.75">
      <c r="A140" s="30" t="s">
        <v>79</v>
      </c>
      <c r="B140" s="27">
        <v>36650.6</v>
      </c>
      <c r="C140" s="27">
        <v>14706</v>
      </c>
      <c r="D140" s="27"/>
      <c r="E140" s="27"/>
      <c r="F140" s="27">
        <f>66401+60447</f>
        <v>126848</v>
      </c>
      <c r="G140" s="27">
        <v>36207</v>
      </c>
      <c r="H140" s="27">
        <v>103005</v>
      </c>
      <c r="I140" s="52">
        <f>95850.05+3800</f>
        <v>99650.05</v>
      </c>
      <c r="J140" s="27">
        <v>117612.35</v>
      </c>
      <c r="K140" s="27">
        <v>8000</v>
      </c>
      <c r="L140" s="121">
        <v>37321</v>
      </c>
      <c r="M140" s="27"/>
      <c r="N140" s="27">
        <v>1200</v>
      </c>
      <c r="O140" s="27">
        <v>17607</v>
      </c>
      <c r="P140" s="27"/>
      <c r="Q140" s="27">
        <v>49533.55</v>
      </c>
      <c r="R140" s="27"/>
      <c r="S140" s="27"/>
      <c r="T140" s="27"/>
      <c r="U140" s="27"/>
      <c r="V140" s="27"/>
      <c r="W140" s="27"/>
      <c r="X140" s="27"/>
      <c r="Y140" s="27"/>
      <c r="Z140" s="27"/>
      <c r="AA140" s="28">
        <f t="shared" si="4"/>
        <v>648340.55</v>
      </c>
      <c r="AB140" s="132">
        <v>25627</v>
      </c>
      <c r="AC140" s="36">
        <f t="shared" si="5"/>
        <v>25.299120068677567</v>
      </c>
    </row>
    <row r="141" spans="1:29" ht="15.75">
      <c r="A141" s="30" t="s">
        <v>80</v>
      </c>
      <c r="B141" s="27">
        <v>30381.18</v>
      </c>
      <c r="C141" s="27">
        <f>176625+75304</f>
        <v>251929</v>
      </c>
      <c r="D141" s="27"/>
      <c r="E141" s="27"/>
      <c r="F141" s="27">
        <f>4156+4103</f>
        <v>8259</v>
      </c>
      <c r="G141" s="27">
        <v>28380</v>
      </c>
      <c r="H141" s="27">
        <v>77168</v>
      </c>
      <c r="I141" s="52">
        <v>56474.02</v>
      </c>
      <c r="J141" s="27"/>
      <c r="K141" s="27"/>
      <c r="L141" s="121">
        <v>26450</v>
      </c>
      <c r="M141" s="27">
        <v>30606</v>
      </c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8">
        <f t="shared" si="4"/>
        <v>509647.2</v>
      </c>
      <c r="AB141" s="132">
        <v>13146</v>
      </c>
      <c r="AC141" s="36">
        <f t="shared" si="5"/>
        <v>38.76823368324966</v>
      </c>
    </row>
    <row r="142" spans="1:29" ht="15.75">
      <c r="A142" s="30" t="s">
        <v>81</v>
      </c>
      <c r="B142" s="27">
        <v>56563.43</v>
      </c>
      <c r="C142" s="27">
        <f>258854+27000+49680+128285</f>
        <v>463819</v>
      </c>
      <c r="D142" s="27"/>
      <c r="E142" s="27"/>
      <c r="F142" s="27">
        <f>56649+48786</f>
        <v>105435</v>
      </c>
      <c r="G142" s="27">
        <v>61068</v>
      </c>
      <c r="H142" s="27">
        <f>185070+73381</f>
        <v>258451</v>
      </c>
      <c r="I142" s="52">
        <v>220915.7</v>
      </c>
      <c r="J142" s="27">
        <v>178917.11</v>
      </c>
      <c r="K142" s="27"/>
      <c r="L142" s="121">
        <v>71849</v>
      </c>
      <c r="M142" s="27"/>
      <c r="N142" s="27"/>
      <c r="O142" s="27">
        <v>15476</v>
      </c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8">
        <f t="shared" si="4"/>
        <v>1432494.2399999998</v>
      </c>
      <c r="AB142" s="132">
        <v>65269</v>
      </c>
      <c r="AC142" s="36">
        <f t="shared" si="5"/>
        <v>21.947543856961186</v>
      </c>
    </row>
    <row r="143" spans="1:29" ht="15.75">
      <c r="A143" s="30" t="s">
        <v>82</v>
      </c>
      <c r="B143" s="27">
        <v>30066.73</v>
      </c>
      <c r="C143" s="27"/>
      <c r="D143" s="27"/>
      <c r="E143" s="27"/>
      <c r="F143" s="27">
        <f>4053+4003</f>
        <v>8056</v>
      </c>
      <c r="G143" s="27">
        <v>27987</v>
      </c>
      <c r="H143" s="27">
        <v>75872</v>
      </c>
      <c r="I143" s="52">
        <v>54499.07</v>
      </c>
      <c r="J143" s="27"/>
      <c r="K143" s="27"/>
      <c r="L143" s="121">
        <v>25905</v>
      </c>
      <c r="M143" s="27">
        <v>29753</v>
      </c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8">
        <f t="shared" si="4"/>
        <v>252138.8</v>
      </c>
      <c r="AB143" s="132">
        <v>12520</v>
      </c>
      <c r="AC143" s="36">
        <f t="shared" si="5"/>
        <v>20.13888178913738</v>
      </c>
    </row>
    <row r="144" spans="1:29" ht="15.75">
      <c r="A144" s="30" t="s">
        <v>83</v>
      </c>
      <c r="B144" s="27">
        <v>41426.61</v>
      </c>
      <c r="C144" s="27">
        <f>113733+192789</f>
        <v>306522</v>
      </c>
      <c r="D144" s="27"/>
      <c r="E144" s="27">
        <v>1500000</v>
      </c>
      <c r="F144" s="27">
        <f>7762+7622</f>
        <v>15384</v>
      </c>
      <c r="G144" s="27">
        <v>42170</v>
      </c>
      <c r="H144" s="27">
        <v>122688</v>
      </c>
      <c r="I144" s="52">
        <v>130846.62</v>
      </c>
      <c r="J144" s="27">
        <v>133611.78</v>
      </c>
      <c r="K144" s="27"/>
      <c r="L144" s="121">
        <v>50603</v>
      </c>
      <c r="M144" s="27"/>
      <c r="N144" s="27"/>
      <c r="O144" s="27"/>
      <c r="P144" s="27"/>
      <c r="Q144" s="27">
        <v>50000</v>
      </c>
      <c r="R144" s="27"/>
      <c r="S144" s="27"/>
      <c r="T144" s="27"/>
      <c r="U144" s="27"/>
      <c r="V144" s="27"/>
      <c r="W144" s="27"/>
      <c r="X144" s="27"/>
      <c r="Y144" s="27"/>
      <c r="Z144" s="27"/>
      <c r="AA144" s="28">
        <f t="shared" si="4"/>
        <v>2393252.01</v>
      </c>
      <c r="AB144" s="132">
        <v>35135</v>
      </c>
      <c r="AC144" s="36">
        <f t="shared" si="5"/>
        <v>68.11589611498505</v>
      </c>
    </row>
    <row r="145" spans="1:29" ht="15.75">
      <c r="A145" s="30" t="s">
        <v>84</v>
      </c>
      <c r="B145" s="27">
        <v>28946.56</v>
      </c>
      <c r="C145" s="27">
        <v>72511</v>
      </c>
      <c r="D145" s="27"/>
      <c r="E145" s="27">
        <v>500000</v>
      </c>
      <c r="F145" s="27">
        <f>3688+3646</f>
        <v>7334</v>
      </c>
      <c r="G145" s="27">
        <v>26588</v>
      </c>
      <c r="H145" s="27">
        <v>71256</v>
      </c>
      <c r="I145" s="52">
        <v>52463.69</v>
      </c>
      <c r="J145" s="27"/>
      <c r="K145" s="27">
        <f>5000+2300</f>
        <v>7300</v>
      </c>
      <c r="L145" s="121">
        <v>28963</v>
      </c>
      <c r="M145" s="27">
        <v>25070</v>
      </c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8">
        <f t="shared" si="4"/>
        <v>820432.25</v>
      </c>
      <c r="AB145" s="132">
        <v>10290</v>
      </c>
      <c r="AC145" s="36">
        <f t="shared" si="5"/>
        <v>79.73102526724976</v>
      </c>
    </row>
    <row r="146" spans="1:29" ht="15.75">
      <c r="A146" s="30" t="s">
        <v>85</v>
      </c>
      <c r="B146" s="27">
        <v>31521.43</v>
      </c>
      <c r="C146" s="27">
        <f>71244+21273</f>
        <v>92517</v>
      </c>
      <c r="D146" s="27"/>
      <c r="E146" s="27"/>
      <c r="F146" s="27">
        <f>4528+4467</f>
        <v>8995</v>
      </c>
      <c r="G146" s="27">
        <v>29803</v>
      </c>
      <c r="H146" s="27">
        <f>81867+45500</f>
        <v>127367</v>
      </c>
      <c r="I146" s="52">
        <v>63635.59</v>
      </c>
      <c r="J146" s="27"/>
      <c r="K146" s="27"/>
      <c r="L146" s="121">
        <v>28427</v>
      </c>
      <c r="M146" s="27">
        <v>35076</v>
      </c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8">
        <f t="shared" si="4"/>
        <v>417342.02</v>
      </c>
      <c r="AB146" s="132">
        <v>15416</v>
      </c>
      <c r="AC146" s="36">
        <f t="shared" si="5"/>
        <v>27.072004411001558</v>
      </c>
    </row>
    <row r="147" spans="1:29" ht="15.75">
      <c r="A147" s="30" t="s">
        <v>86</v>
      </c>
      <c r="B147" s="27">
        <v>28402.54</v>
      </c>
      <c r="C147" s="27"/>
      <c r="D147" s="27"/>
      <c r="E147" s="27"/>
      <c r="F147" s="27">
        <f>3510+3473</f>
        <v>6983</v>
      </c>
      <c r="G147" s="27">
        <v>25909</v>
      </c>
      <c r="H147" s="27">
        <v>69014</v>
      </c>
      <c r="I147" s="52">
        <v>49046.96</v>
      </c>
      <c r="J147" s="27"/>
      <c r="K147" s="27"/>
      <c r="L147" s="121">
        <v>28019</v>
      </c>
      <c r="M147" s="27">
        <v>21276</v>
      </c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8">
        <f t="shared" si="4"/>
        <v>228650.5</v>
      </c>
      <c r="AB147" s="132">
        <v>9207</v>
      </c>
      <c r="AC147" s="36">
        <f t="shared" si="5"/>
        <v>24.83441946345172</v>
      </c>
    </row>
    <row r="148" spans="1:29" ht="15.75">
      <c r="A148" s="30" t="s">
        <v>87</v>
      </c>
      <c r="B148" s="27">
        <v>40042.74</v>
      </c>
      <c r="C148" s="27">
        <f>305010+68527+39987+48389+41994+89415</f>
        <v>593322</v>
      </c>
      <c r="D148" s="27"/>
      <c r="E148" s="27"/>
      <c r="F148" s="27">
        <f>27990+29221</f>
        <v>57211</v>
      </c>
      <c r="G148" s="27">
        <v>40442</v>
      </c>
      <c r="H148" s="27">
        <v>116985</v>
      </c>
      <c r="I148" s="52">
        <v>117154.93</v>
      </c>
      <c r="J148" s="27"/>
      <c r="K148" s="27"/>
      <c r="L148" s="121">
        <v>43203</v>
      </c>
      <c r="M148" s="27">
        <v>74169</v>
      </c>
      <c r="N148" s="27"/>
      <c r="O148" s="27">
        <v>6884</v>
      </c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8">
        <f t="shared" si="4"/>
        <v>1089413.67</v>
      </c>
      <c r="AB148" s="132">
        <v>32380</v>
      </c>
      <c r="AC148" s="36">
        <f t="shared" si="5"/>
        <v>33.64464700432365</v>
      </c>
    </row>
    <row r="149" spans="1:29" ht="15.75">
      <c r="A149" s="30" t="s">
        <v>88</v>
      </c>
      <c r="B149" s="27">
        <v>28766.72</v>
      </c>
      <c r="C149" s="27">
        <v>2300</v>
      </c>
      <c r="D149" s="27"/>
      <c r="E149" s="27"/>
      <c r="F149" s="27">
        <f>3629+3589</f>
        <v>7218</v>
      </c>
      <c r="G149" s="27">
        <v>26364</v>
      </c>
      <c r="H149" s="27">
        <v>70514</v>
      </c>
      <c r="I149" s="52">
        <v>51334.24</v>
      </c>
      <c r="J149" s="27"/>
      <c r="K149" s="27"/>
      <c r="L149" s="121">
        <v>28651</v>
      </c>
      <c r="M149" s="27">
        <v>23390</v>
      </c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8">
        <f t="shared" si="4"/>
        <v>238537.96</v>
      </c>
      <c r="AB149" s="132">
        <v>9932</v>
      </c>
      <c r="AC149" s="36">
        <f t="shared" si="5"/>
        <v>24.017112364075714</v>
      </c>
    </row>
    <row r="150" spans="1:29" ht="15.75">
      <c r="A150" s="30" t="s">
        <v>89</v>
      </c>
      <c r="B150" s="27">
        <v>160785.96</v>
      </c>
      <c r="C150" s="27">
        <v>101835</v>
      </c>
      <c r="D150" s="27"/>
      <c r="E150" s="27"/>
      <c r="F150" s="27">
        <f>15715+15381</f>
        <v>31096</v>
      </c>
      <c r="G150" s="27">
        <v>72582</v>
      </c>
      <c r="H150" s="27">
        <v>223078</v>
      </c>
      <c r="I150" s="52">
        <v>278839.25</v>
      </c>
      <c r="J150" s="27">
        <v>209331.87</v>
      </c>
      <c r="K150" s="27">
        <f>14800+10156</f>
        <v>24956</v>
      </c>
      <c r="L150" s="121">
        <v>87841</v>
      </c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8">
        <f t="shared" si="4"/>
        <v>1190345.08</v>
      </c>
      <c r="AB150" s="132">
        <v>83629</v>
      </c>
      <c r="AC150" s="36">
        <f t="shared" si="5"/>
        <v>14.233640005261334</v>
      </c>
    </row>
    <row r="151" spans="1:29" ht="15.75">
      <c r="A151" s="30" t="s">
        <v>90</v>
      </c>
      <c r="B151" s="27">
        <v>31033.69</v>
      </c>
      <c r="C151" s="27">
        <v>288049</v>
      </c>
      <c r="D151" s="27"/>
      <c r="E151" s="27"/>
      <c r="F151" s="27">
        <f>4369+4311</f>
        <v>8680</v>
      </c>
      <c r="G151" s="27">
        <v>29194</v>
      </c>
      <c r="H151" s="27">
        <v>79857</v>
      </c>
      <c r="I151" s="52">
        <v>60572.21</v>
      </c>
      <c r="J151" s="27"/>
      <c r="K151" s="27"/>
      <c r="L151" s="121">
        <v>27582</v>
      </c>
      <c r="M151" s="27">
        <v>33844</v>
      </c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8">
        <f t="shared" si="4"/>
        <v>558811.9</v>
      </c>
      <c r="AB151" s="132">
        <v>14445</v>
      </c>
      <c r="AC151" s="36">
        <f t="shared" si="5"/>
        <v>38.68548978885428</v>
      </c>
    </row>
    <row r="152" spans="1:29" ht="15.75">
      <c r="A152" s="30" t="s">
        <v>91</v>
      </c>
      <c r="B152" s="27">
        <v>30539.91</v>
      </c>
      <c r="C152" s="27"/>
      <c r="D152" s="27"/>
      <c r="E152" s="27"/>
      <c r="F152" s="27">
        <f>96256+114533</f>
        <v>210789</v>
      </c>
      <c r="G152" s="27">
        <v>28578</v>
      </c>
      <c r="H152" s="27">
        <v>77822</v>
      </c>
      <c r="I152" s="52">
        <v>62470.96</v>
      </c>
      <c r="J152" s="27"/>
      <c r="K152" s="27"/>
      <c r="L152" s="121">
        <v>31725</v>
      </c>
      <c r="M152" s="27">
        <v>32534</v>
      </c>
      <c r="N152" s="27"/>
      <c r="O152" s="27">
        <v>27932</v>
      </c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8">
        <f t="shared" si="4"/>
        <v>502390.87000000005</v>
      </c>
      <c r="AB152" s="132">
        <v>13462</v>
      </c>
      <c r="AC152" s="36">
        <f t="shared" si="5"/>
        <v>37.31918511365325</v>
      </c>
    </row>
    <row r="153" spans="1:29" ht="15.75">
      <c r="A153" s="30" t="s">
        <v>92</v>
      </c>
      <c r="B153" s="27">
        <v>193825.67</v>
      </c>
      <c r="C153" s="27">
        <f>296065+461036</f>
        <v>757101</v>
      </c>
      <c r="D153" s="27">
        <v>280000</v>
      </c>
      <c r="E153" s="27"/>
      <c r="F153" s="27">
        <f>175695+214869</f>
        <v>390564</v>
      </c>
      <c r="G153" s="27">
        <v>133114</v>
      </c>
      <c r="H153" s="27">
        <v>422891</v>
      </c>
      <c r="I153" s="52">
        <v>588351.18</v>
      </c>
      <c r="J153" s="27">
        <v>359029.53</v>
      </c>
      <c r="K153" s="27"/>
      <c r="L153" s="121">
        <v>176911</v>
      </c>
      <c r="M153" s="27"/>
      <c r="N153" s="27"/>
      <c r="O153" s="27">
        <v>52408</v>
      </c>
      <c r="P153" s="27"/>
      <c r="Q153" s="27">
        <v>41000</v>
      </c>
      <c r="R153" s="27"/>
      <c r="S153" s="27"/>
      <c r="T153" s="27"/>
      <c r="U153" s="27">
        <v>220000</v>
      </c>
      <c r="V153" s="27"/>
      <c r="W153" s="27"/>
      <c r="X153" s="27"/>
      <c r="Y153" s="27"/>
      <c r="Z153" s="27"/>
      <c r="AA153" s="28">
        <f t="shared" si="4"/>
        <v>3615195.38</v>
      </c>
      <c r="AB153" s="132">
        <v>180150</v>
      </c>
      <c r="AC153" s="36">
        <f t="shared" si="5"/>
        <v>20.067695698029418</v>
      </c>
    </row>
    <row r="154" spans="1:29" ht="15.75">
      <c r="A154" s="30" t="s">
        <v>93</v>
      </c>
      <c r="B154" s="27">
        <v>462744.53</v>
      </c>
      <c r="C154" s="27">
        <v>400959</v>
      </c>
      <c r="D154" s="27">
        <v>280000</v>
      </c>
      <c r="E154" s="27"/>
      <c r="F154" s="27">
        <f>217611+260848</f>
        <v>478459</v>
      </c>
      <c r="G154" s="27">
        <v>167138</v>
      </c>
      <c r="H154" s="27">
        <f>535203+11424.78</f>
        <v>546627.78</v>
      </c>
      <c r="I154" s="52">
        <v>759512.75</v>
      </c>
      <c r="J154" s="27">
        <v>445838.33</v>
      </c>
      <c r="K154" s="27">
        <v>21000</v>
      </c>
      <c r="L154" s="121">
        <v>224165</v>
      </c>
      <c r="M154" s="27"/>
      <c r="N154" s="27"/>
      <c r="O154" s="27">
        <v>63617</v>
      </c>
      <c r="P154" s="27"/>
      <c r="Q154" s="27">
        <v>174874.98</v>
      </c>
      <c r="R154" s="27"/>
      <c r="S154" s="27"/>
      <c r="T154" s="27"/>
      <c r="U154" s="27">
        <v>220000</v>
      </c>
      <c r="V154" s="27"/>
      <c r="W154" s="27"/>
      <c r="X154" s="27"/>
      <c r="Y154" s="27">
        <v>693760</v>
      </c>
      <c r="Z154" s="27"/>
      <c r="AA154" s="28">
        <f t="shared" si="4"/>
        <v>4938696.37</v>
      </c>
      <c r="AB154" s="132">
        <v>234403</v>
      </c>
      <c r="AC154" s="36">
        <f t="shared" si="5"/>
        <v>21.069254105109575</v>
      </c>
    </row>
    <row r="155" spans="1:29" ht="15.75">
      <c r="A155" s="30" t="s">
        <v>94</v>
      </c>
      <c r="B155" s="27">
        <v>114254.54</v>
      </c>
      <c r="C155" s="27">
        <v>24462</v>
      </c>
      <c r="D155" s="27"/>
      <c r="E155" s="27"/>
      <c r="F155" s="27">
        <f>4147+4095</f>
        <v>8242</v>
      </c>
      <c r="G155" s="27">
        <v>28346</v>
      </c>
      <c r="H155" s="27">
        <v>77058</v>
      </c>
      <c r="I155" s="52">
        <v>61306.81</v>
      </c>
      <c r="J155" s="27"/>
      <c r="K155" s="27"/>
      <c r="L155" s="121">
        <v>31404</v>
      </c>
      <c r="M155" s="27">
        <v>29712</v>
      </c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8">
        <f t="shared" si="4"/>
        <v>374785.35</v>
      </c>
      <c r="AB155" s="132">
        <v>13093</v>
      </c>
      <c r="AC155" s="36">
        <f t="shared" si="5"/>
        <v>28.624864431375542</v>
      </c>
    </row>
    <row r="156" spans="1:29" ht="15.75">
      <c r="A156" s="30" t="s">
        <v>95</v>
      </c>
      <c r="B156" s="27">
        <v>29935.62</v>
      </c>
      <c r="C156" s="27"/>
      <c r="D156" s="27"/>
      <c r="E156" s="27"/>
      <c r="F156" s="27">
        <f>4010+3961</f>
        <v>7971</v>
      </c>
      <c r="G156" s="27">
        <v>27823</v>
      </c>
      <c r="H156" s="27">
        <v>75332</v>
      </c>
      <c r="I156" s="52">
        <v>58675.64</v>
      </c>
      <c r="J156" s="27"/>
      <c r="K156" s="27"/>
      <c r="L156" s="121">
        <v>30678</v>
      </c>
      <c r="M156" s="27">
        <v>28568</v>
      </c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8">
        <f t="shared" si="4"/>
        <v>258983.26</v>
      </c>
      <c r="AB156" s="132">
        <v>12259</v>
      </c>
      <c r="AC156" s="36">
        <f t="shared" si="5"/>
        <v>21.125969491801943</v>
      </c>
    </row>
    <row r="157" spans="1:29" ht="15.75">
      <c r="A157" s="30" t="s">
        <v>96</v>
      </c>
      <c r="B157" s="27">
        <v>25738.77</v>
      </c>
      <c r="C157" s="27">
        <v>63159</v>
      </c>
      <c r="D157" s="27"/>
      <c r="E157" s="27"/>
      <c r="F157" s="27">
        <f>2640+2625</f>
        <v>5265</v>
      </c>
      <c r="G157" s="27">
        <v>22584</v>
      </c>
      <c r="H157" s="27">
        <v>58036</v>
      </c>
      <c r="I157" s="52">
        <v>27316.64</v>
      </c>
      <c r="J157" s="27"/>
      <c r="K157" s="27"/>
      <c r="L157" s="121">
        <v>18400</v>
      </c>
      <c r="M157" s="27">
        <v>9128</v>
      </c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8">
        <f t="shared" si="4"/>
        <v>229627.41000000003</v>
      </c>
      <c r="AB157" s="132">
        <v>3904</v>
      </c>
      <c r="AC157" s="36">
        <f t="shared" si="5"/>
        <v>58.81849641393443</v>
      </c>
    </row>
    <row r="158" spans="1:29" ht="15.75">
      <c r="A158" s="30" t="s">
        <v>97</v>
      </c>
      <c r="B158" s="27">
        <v>113116.65</v>
      </c>
      <c r="C158" s="27">
        <f>124445+193500</f>
        <v>317945</v>
      </c>
      <c r="D158" s="27"/>
      <c r="E158" s="27"/>
      <c r="F158" s="27">
        <f>4579+4516</f>
        <v>9095</v>
      </c>
      <c r="G158" s="27">
        <v>29997</v>
      </c>
      <c r="H158" s="27">
        <v>82507</v>
      </c>
      <c r="I158" s="52">
        <v>69610.45</v>
      </c>
      <c r="J158" s="27"/>
      <c r="K158" s="27">
        <f>2000+1000</f>
        <v>3000</v>
      </c>
      <c r="L158" s="121">
        <v>33696</v>
      </c>
      <c r="M158" s="27">
        <v>36450</v>
      </c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8">
        <f t="shared" si="4"/>
        <v>695417.1</v>
      </c>
      <c r="AB158" s="132">
        <v>15725</v>
      </c>
      <c r="AC158" s="36">
        <f t="shared" si="5"/>
        <v>44.22366295707472</v>
      </c>
    </row>
    <row r="159" spans="1:29" ht="15.75">
      <c r="A159" s="30" t="s">
        <v>98</v>
      </c>
      <c r="B159" s="27">
        <v>36778.18</v>
      </c>
      <c r="C159" s="27">
        <v>57087</v>
      </c>
      <c r="D159" s="27"/>
      <c r="E159" s="27"/>
      <c r="F159" s="27">
        <f>6244+6141</f>
        <v>12385</v>
      </c>
      <c r="G159" s="27">
        <v>36366</v>
      </c>
      <c r="H159" s="27">
        <v>103531</v>
      </c>
      <c r="I159" s="52">
        <f>96651.38+6840</f>
        <v>103491.38</v>
      </c>
      <c r="J159" s="27"/>
      <c r="K159" s="27"/>
      <c r="L159" s="121">
        <v>37542</v>
      </c>
      <c r="M159" s="27">
        <v>62734</v>
      </c>
      <c r="N159" s="27">
        <v>2160</v>
      </c>
      <c r="O159" s="27">
        <v>7900</v>
      </c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8">
        <f t="shared" si="4"/>
        <v>459974.56</v>
      </c>
      <c r="AB159" s="132">
        <v>25881</v>
      </c>
      <c r="AC159" s="36">
        <f t="shared" si="5"/>
        <v>17.77267338974537</v>
      </c>
    </row>
    <row r="160" spans="1:29" ht="15.75">
      <c r="A160" s="30" t="s">
        <v>99</v>
      </c>
      <c r="B160" s="27">
        <v>35419.92</v>
      </c>
      <c r="C160" s="27"/>
      <c r="D160" s="27"/>
      <c r="E160" s="27"/>
      <c r="F160" s="27">
        <f>5801+5708</f>
        <v>11509</v>
      </c>
      <c r="G160" s="27">
        <v>34670</v>
      </c>
      <c r="H160" s="27">
        <v>97934</v>
      </c>
      <c r="I160" s="52">
        <f>88120.6+7942</f>
        <v>96062.6</v>
      </c>
      <c r="J160" s="27"/>
      <c r="K160" s="27">
        <f>6000+4600</f>
        <v>10600</v>
      </c>
      <c r="L160" s="121">
        <v>35187</v>
      </c>
      <c r="M160" s="27">
        <v>53569</v>
      </c>
      <c r="N160" s="27">
        <v>2508</v>
      </c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8">
        <f t="shared" si="4"/>
        <v>377459.52</v>
      </c>
      <c r="AB160" s="132">
        <v>23177</v>
      </c>
      <c r="AC160" s="36">
        <f t="shared" si="5"/>
        <v>16.28595245286275</v>
      </c>
    </row>
    <row r="161" spans="1:29" ht="15.75">
      <c r="A161" s="30" t="s">
        <v>100</v>
      </c>
      <c r="B161" s="27">
        <v>33526.18</v>
      </c>
      <c r="C161" s="27">
        <f>170643+113220</f>
        <v>283863</v>
      </c>
      <c r="D161" s="27"/>
      <c r="E161" s="27"/>
      <c r="F161" s="27">
        <f>5183+5105</f>
        <v>10288</v>
      </c>
      <c r="G161" s="27">
        <v>32306</v>
      </c>
      <c r="H161" s="27">
        <v>90129</v>
      </c>
      <c r="I161" s="52">
        <v>76226.71</v>
      </c>
      <c r="J161" s="27"/>
      <c r="K161" s="27">
        <f>5000+5750</f>
        <v>10750</v>
      </c>
      <c r="L161" s="121">
        <v>31903</v>
      </c>
      <c r="M161" s="27">
        <v>44710</v>
      </c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8">
        <f t="shared" si="4"/>
        <v>613701.89</v>
      </c>
      <c r="AB161" s="132">
        <v>19407</v>
      </c>
      <c r="AC161" s="36">
        <f t="shared" si="5"/>
        <v>31.622707785850466</v>
      </c>
    </row>
    <row r="162" spans="1:29" ht="15.75">
      <c r="A162" s="30" t="s">
        <v>101</v>
      </c>
      <c r="B162" s="27">
        <v>40725.89</v>
      </c>
      <c r="C162" s="27"/>
      <c r="D162" s="27"/>
      <c r="E162" s="27"/>
      <c r="F162" s="27">
        <f>37626+43687</f>
        <v>81313</v>
      </c>
      <c r="G162" s="27">
        <v>41295</v>
      </c>
      <c r="H162" s="27">
        <v>119801</v>
      </c>
      <c r="I162" s="52">
        <f>126445.57+10640</f>
        <v>137085.57</v>
      </c>
      <c r="J162" s="27"/>
      <c r="K162" s="27">
        <f>12000+11500</f>
        <v>23500</v>
      </c>
      <c r="L162" s="121">
        <v>49388</v>
      </c>
      <c r="M162" s="27">
        <v>76102</v>
      </c>
      <c r="N162" s="27">
        <v>3360</v>
      </c>
      <c r="O162" s="27">
        <v>10675</v>
      </c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8">
        <f t="shared" si="4"/>
        <v>583245.46</v>
      </c>
      <c r="AB162" s="132">
        <v>33740</v>
      </c>
      <c r="AC162" s="36">
        <f t="shared" si="5"/>
        <v>17.28646887966805</v>
      </c>
    </row>
    <row r="163" spans="1:29" ht="15.75">
      <c r="A163" s="30" t="s">
        <v>102</v>
      </c>
      <c r="B163" s="27">
        <v>54793.27</v>
      </c>
      <c r="C163" s="27">
        <f>339458+30240+153293+83971+160200+225000</f>
        <v>992162</v>
      </c>
      <c r="D163" s="27"/>
      <c r="E163" s="27"/>
      <c r="F163" s="27">
        <f>75924+67970</f>
        <v>143894</v>
      </c>
      <c r="G163" s="27">
        <v>58858</v>
      </c>
      <c r="H163" s="27">
        <v>177775</v>
      </c>
      <c r="I163" s="52">
        <f>209797.91+13680</f>
        <v>223477.91</v>
      </c>
      <c r="J163" s="27"/>
      <c r="K163" s="27">
        <f>15000+11195+5000</f>
        <v>31195</v>
      </c>
      <c r="L163" s="121">
        <v>68780</v>
      </c>
      <c r="M163" s="27">
        <v>141896</v>
      </c>
      <c r="N163" s="27">
        <v>4320</v>
      </c>
      <c r="O163" s="27">
        <v>18605</v>
      </c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8">
        <f t="shared" si="4"/>
        <v>1915756.18</v>
      </c>
      <c r="AB163" s="132">
        <v>61745</v>
      </c>
      <c r="AC163" s="36">
        <f t="shared" si="5"/>
        <v>31.026903878856587</v>
      </c>
    </row>
    <row r="164" spans="1:29" ht="15.75">
      <c r="A164" s="30" t="s">
        <v>103</v>
      </c>
      <c r="B164" s="27">
        <v>29587.52</v>
      </c>
      <c r="C164" s="27">
        <v>30488</v>
      </c>
      <c r="D164" s="27"/>
      <c r="E164" s="27"/>
      <c r="F164" s="27">
        <f>3897+3851</f>
        <v>7748</v>
      </c>
      <c r="G164" s="27">
        <v>27389</v>
      </c>
      <c r="H164" s="27">
        <v>73897</v>
      </c>
      <c r="I164" s="52">
        <v>56489.31</v>
      </c>
      <c r="J164" s="27"/>
      <c r="K164" s="27"/>
      <c r="L164" s="121">
        <v>30074</v>
      </c>
      <c r="M164" s="27">
        <v>26856</v>
      </c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8">
        <f t="shared" si="4"/>
        <v>282528.83</v>
      </c>
      <c r="AB164" s="132">
        <v>11566</v>
      </c>
      <c r="AC164" s="36">
        <f t="shared" si="5"/>
        <v>24.427531558014874</v>
      </c>
    </row>
    <row r="165" spans="1:29" ht="15.75">
      <c r="A165" s="30" t="s">
        <v>104</v>
      </c>
      <c r="B165" s="27">
        <v>297718.19</v>
      </c>
      <c r="C165" s="27"/>
      <c r="D165" s="27"/>
      <c r="E165" s="27"/>
      <c r="F165" s="27">
        <f>148864+179724</f>
        <v>328588</v>
      </c>
      <c r="G165" s="27">
        <v>83203</v>
      </c>
      <c r="H165" s="27">
        <v>258138</v>
      </c>
      <c r="I165" s="52">
        <f>337270.25+12160</f>
        <v>349430.25</v>
      </c>
      <c r="J165" s="27">
        <v>230875.66</v>
      </c>
      <c r="K165" s="27">
        <f>14000+4000</f>
        <v>18000</v>
      </c>
      <c r="L165" s="121">
        <v>107592</v>
      </c>
      <c r="M165" s="27"/>
      <c r="N165" s="27">
        <v>3840</v>
      </c>
      <c r="O165" s="27">
        <v>43840</v>
      </c>
      <c r="P165" s="27"/>
      <c r="Q165" s="27"/>
      <c r="R165" s="27"/>
      <c r="S165" s="27"/>
      <c r="T165" s="27"/>
      <c r="U165" s="27">
        <v>220000</v>
      </c>
      <c r="V165" s="27"/>
      <c r="W165" s="27"/>
      <c r="X165" s="27"/>
      <c r="Y165" s="27"/>
      <c r="Z165" s="27"/>
      <c r="AA165" s="28">
        <f t="shared" si="4"/>
        <v>1941225.0999999999</v>
      </c>
      <c r="AB165" s="132">
        <v>100565</v>
      </c>
      <c r="AC165" s="36">
        <f t="shared" si="5"/>
        <v>19.30318798786854</v>
      </c>
    </row>
    <row r="166" spans="1:29" ht="15.75">
      <c r="A166" s="30" t="s">
        <v>105</v>
      </c>
      <c r="B166" s="27">
        <v>35018.07</v>
      </c>
      <c r="C166" s="27">
        <f>26529+51867</f>
        <v>78396</v>
      </c>
      <c r="D166" s="27"/>
      <c r="E166" s="27"/>
      <c r="F166" s="27">
        <f>17838+17087</f>
        <v>34925</v>
      </c>
      <c r="G166" s="27">
        <v>34169</v>
      </c>
      <c r="H166" s="27">
        <v>96277</v>
      </c>
      <c r="I166" s="52">
        <v>90596.69</v>
      </c>
      <c r="J166" s="27"/>
      <c r="K166" s="27"/>
      <c r="L166" s="121">
        <v>39490</v>
      </c>
      <c r="M166" s="27">
        <v>55147</v>
      </c>
      <c r="N166" s="27"/>
      <c r="O166" s="27">
        <v>3631</v>
      </c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8">
        <f t="shared" si="4"/>
        <v>467649.76</v>
      </c>
      <c r="AB166" s="132">
        <v>22377</v>
      </c>
      <c r="AC166" s="36">
        <f t="shared" si="5"/>
        <v>20.898679894534567</v>
      </c>
    </row>
    <row r="167" spans="1:29" ht="15.75">
      <c r="A167" s="30" t="s">
        <v>106</v>
      </c>
      <c r="B167" s="27">
        <v>33683.4</v>
      </c>
      <c r="C167" s="27">
        <f>203848+414000</f>
        <v>617848</v>
      </c>
      <c r="D167" s="27"/>
      <c r="E167" s="27"/>
      <c r="F167" s="27">
        <f>41071+34424</f>
        <v>75495</v>
      </c>
      <c r="G167" s="27">
        <v>32502</v>
      </c>
      <c r="H167" s="27">
        <v>90777</v>
      </c>
      <c r="I167" s="52">
        <f>77214.18+2622</f>
        <v>79836.18</v>
      </c>
      <c r="J167" s="27"/>
      <c r="K167" s="27"/>
      <c r="L167" s="121">
        <v>32176</v>
      </c>
      <c r="M167" s="27">
        <v>45928</v>
      </c>
      <c r="N167" s="27">
        <v>828</v>
      </c>
      <c r="O167" s="27">
        <v>9436</v>
      </c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8">
        <f t="shared" si="4"/>
        <v>1018509.5800000001</v>
      </c>
      <c r="AB167" s="132">
        <v>19720</v>
      </c>
      <c r="AC167" s="36">
        <f t="shared" si="5"/>
        <v>51.64855882352941</v>
      </c>
    </row>
    <row r="168" spans="1:29" ht="15.75">
      <c r="A168" s="30" t="s">
        <v>107</v>
      </c>
      <c r="B168" s="27">
        <v>40377.78</v>
      </c>
      <c r="C168" s="27"/>
      <c r="D168" s="27"/>
      <c r="E168" s="27"/>
      <c r="F168" s="27">
        <f>84654+25231+78162</f>
        <v>188047</v>
      </c>
      <c r="G168" s="27">
        <v>40860</v>
      </c>
      <c r="H168" s="27">
        <v>118366</v>
      </c>
      <c r="I168" s="52">
        <v>124259.24</v>
      </c>
      <c r="J168" s="27"/>
      <c r="K168" s="27"/>
      <c r="L168" s="121">
        <v>48784</v>
      </c>
      <c r="M168" s="27">
        <v>78446</v>
      </c>
      <c r="N168" s="27"/>
      <c r="O168" s="27">
        <v>25231</v>
      </c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8">
        <f t="shared" si="4"/>
        <v>664371.02</v>
      </c>
      <c r="AB168" s="132">
        <v>33124</v>
      </c>
      <c r="AC168" s="36">
        <f t="shared" si="5"/>
        <v>20.057089119671538</v>
      </c>
    </row>
    <row r="169" spans="1:29" ht="15.75">
      <c r="A169" s="30" t="s">
        <v>108</v>
      </c>
      <c r="B169" s="27">
        <v>164834.77</v>
      </c>
      <c r="C169" s="27">
        <v>353612</v>
      </c>
      <c r="D169" s="27"/>
      <c r="E169" s="27">
        <v>4300000</v>
      </c>
      <c r="F169" s="27">
        <f>74074+74056</f>
        <v>148130</v>
      </c>
      <c r="G169" s="27">
        <v>196243</v>
      </c>
      <c r="H169" s="27">
        <v>631279</v>
      </c>
      <c r="I169" s="52">
        <f>905930.61+15960</f>
        <v>921890.61</v>
      </c>
      <c r="J169" s="27">
        <v>568764.66</v>
      </c>
      <c r="K169" s="27">
        <f>21000+5750</f>
        <v>26750</v>
      </c>
      <c r="L169" s="121">
        <v>264588</v>
      </c>
      <c r="M169" s="27"/>
      <c r="N169" s="27">
        <v>5040</v>
      </c>
      <c r="O169" s="27">
        <v>9819</v>
      </c>
      <c r="P169" s="27"/>
      <c r="Q169" s="27">
        <v>97500</v>
      </c>
      <c r="R169" s="27"/>
      <c r="S169" s="27"/>
      <c r="T169" s="27"/>
      <c r="U169" s="27"/>
      <c r="V169" s="27"/>
      <c r="W169" s="27"/>
      <c r="X169" s="27"/>
      <c r="Y169" s="27"/>
      <c r="Z169" s="27"/>
      <c r="AA169" s="28">
        <f t="shared" si="4"/>
        <v>7688451.04</v>
      </c>
      <c r="AB169" s="132">
        <v>280813</v>
      </c>
      <c r="AC169" s="36">
        <f t="shared" si="5"/>
        <v>27.3792560885714</v>
      </c>
    </row>
    <row r="170" spans="1:29" ht="15.75">
      <c r="A170" s="30" t="s">
        <v>109</v>
      </c>
      <c r="B170" s="27">
        <v>41422.59</v>
      </c>
      <c r="C170" s="27">
        <f>437550+21618+114210+57150+73065</f>
        <v>703593</v>
      </c>
      <c r="D170" s="27"/>
      <c r="E170" s="27"/>
      <c r="F170" s="27">
        <f>61770+61750</f>
        <v>123520</v>
      </c>
      <c r="G170" s="27">
        <v>42165</v>
      </c>
      <c r="H170" s="27">
        <v>122672</v>
      </c>
      <c r="I170" s="52">
        <f>125821.38+11400</f>
        <v>137221.38</v>
      </c>
      <c r="J170" s="27">
        <v>130126.76</v>
      </c>
      <c r="K170" s="27"/>
      <c r="L170" s="121">
        <v>45596</v>
      </c>
      <c r="M170" s="27"/>
      <c r="N170" s="27">
        <v>3600</v>
      </c>
      <c r="O170" s="27">
        <v>16904</v>
      </c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8">
        <f t="shared" si="4"/>
        <v>1366820.73</v>
      </c>
      <c r="AB170" s="132">
        <v>35127</v>
      </c>
      <c r="AC170" s="36">
        <f t="shared" si="5"/>
        <v>38.910830130668714</v>
      </c>
    </row>
    <row r="171" spans="1:29" ht="15.75">
      <c r="A171" s="30" t="s">
        <v>110</v>
      </c>
      <c r="B171" s="27">
        <v>31743.96</v>
      </c>
      <c r="C171" s="27">
        <v>245225</v>
      </c>
      <c r="D171" s="27"/>
      <c r="E171" s="27"/>
      <c r="F171" s="27">
        <f>4601+4537</f>
        <v>9138</v>
      </c>
      <c r="G171" s="27">
        <v>30081</v>
      </c>
      <c r="H171" s="27">
        <v>82784</v>
      </c>
      <c r="I171" s="52">
        <v>65033.2</v>
      </c>
      <c r="J171" s="27"/>
      <c r="K171" s="27"/>
      <c r="L171" s="121">
        <v>28813</v>
      </c>
      <c r="M171" s="27">
        <v>36011</v>
      </c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8">
        <f t="shared" si="4"/>
        <v>528829.16</v>
      </c>
      <c r="AB171" s="132">
        <v>15859</v>
      </c>
      <c r="AC171" s="36">
        <f t="shared" si="5"/>
        <v>33.345681316602565</v>
      </c>
    </row>
    <row r="172" spans="1:29" ht="15.75">
      <c r="A172" s="30" t="s">
        <v>111</v>
      </c>
      <c r="B172" s="27">
        <v>27285.4</v>
      </c>
      <c r="C172" s="27">
        <v>225000</v>
      </c>
      <c r="D172" s="27"/>
      <c r="E172" s="27"/>
      <c r="F172" s="27">
        <f>3145+3117</f>
        <v>6262</v>
      </c>
      <c r="G172" s="27">
        <v>24515</v>
      </c>
      <c r="H172" s="27">
        <v>64410</v>
      </c>
      <c r="I172" s="52">
        <v>37030.51</v>
      </c>
      <c r="J172" s="27"/>
      <c r="K172" s="27"/>
      <c r="L172" s="121">
        <v>21082</v>
      </c>
      <c r="M172" s="27">
        <v>16560</v>
      </c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8">
        <f t="shared" si="4"/>
        <v>422144.91000000003</v>
      </c>
      <c r="AB172" s="132">
        <v>6983</v>
      </c>
      <c r="AC172" s="36">
        <f t="shared" si="5"/>
        <v>60.45323070313619</v>
      </c>
    </row>
    <row r="173" spans="1:29" ht="15.75">
      <c r="A173" s="30" t="s">
        <v>7</v>
      </c>
      <c r="B173" s="27">
        <v>224021.78</v>
      </c>
      <c r="C173" s="27">
        <v>334495</v>
      </c>
      <c r="D173" s="27">
        <v>280000</v>
      </c>
      <c r="E173" s="27"/>
      <c r="F173" s="27">
        <f>34438+33646</f>
        <v>68084</v>
      </c>
      <c r="G173" s="27">
        <v>144177</v>
      </c>
      <c r="H173" s="27">
        <v>459409</v>
      </c>
      <c r="I173" s="52">
        <f>644003.22+15200</f>
        <v>659203.22</v>
      </c>
      <c r="J173" s="27">
        <v>380731.73</v>
      </c>
      <c r="K173" s="27">
        <f>15000+16000</f>
        <v>31000</v>
      </c>
      <c r="L173" s="121">
        <v>192275</v>
      </c>
      <c r="M173" s="27"/>
      <c r="N173" s="27">
        <v>4800</v>
      </c>
      <c r="O173" s="27">
        <v>37700</v>
      </c>
      <c r="P173" s="27">
        <v>227592</v>
      </c>
      <c r="Q173" s="27">
        <v>49883.25</v>
      </c>
      <c r="R173" s="27"/>
      <c r="S173" s="27"/>
      <c r="T173" s="27"/>
      <c r="U173" s="27">
        <f>176000+400000</f>
        <v>576000</v>
      </c>
      <c r="V173" s="27"/>
      <c r="W173" s="27"/>
      <c r="X173" s="27"/>
      <c r="Y173" s="27"/>
      <c r="Z173" s="27"/>
      <c r="AA173" s="28">
        <f t="shared" si="4"/>
        <v>3669371.98</v>
      </c>
      <c r="AB173" s="132">
        <v>197790</v>
      </c>
      <c r="AC173" s="36">
        <f t="shared" si="5"/>
        <v>18.551857930127913</v>
      </c>
    </row>
    <row r="174" spans="1:29" ht="15.75">
      <c r="A174" s="30" t="s">
        <v>112</v>
      </c>
      <c r="B174" s="27">
        <v>28202.63</v>
      </c>
      <c r="C174" s="27">
        <f>66510+88380</f>
        <v>154890</v>
      </c>
      <c r="D174" s="27"/>
      <c r="E174" s="27"/>
      <c r="F174" s="27">
        <f>3445+3409</f>
        <v>6854</v>
      </c>
      <c r="G174" s="27">
        <v>25660</v>
      </c>
      <c r="H174" s="27">
        <v>68190</v>
      </c>
      <c r="I174" s="52">
        <v>47791.32</v>
      </c>
      <c r="J174" s="27"/>
      <c r="K174" s="27"/>
      <c r="L174" s="121">
        <v>27673</v>
      </c>
      <c r="M174" s="27">
        <v>20308</v>
      </c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8">
        <f t="shared" si="4"/>
        <v>379568.95</v>
      </c>
      <c r="AB174" s="132">
        <v>8809</v>
      </c>
      <c r="AC174" s="36">
        <f t="shared" si="5"/>
        <v>43.088767169939835</v>
      </c>
    </row>
    <row r="175" spans="1:29" ht="15.75">
      <c r="A175" s="30" t="s">
        <v>113</v>
      </c>
      <c r="B175" s="27">
        <v>71453.09</v>
      </c>
      <c r="C175" s="27"/>
      <c r="D175" s="27"/>
      <c r="E175" s="27"/>
      <c r="F175" s="27">
        <f>131018+141746</f>
        <v>272764</v>
      </c>
      <c r="G175" s="27">
        <v>79657</v>
      </c>
      <c r="H175" s="27">
        <f>246434+7550.58</f>
        <v>253984.58</v>
      </c>
      <c r="I175" s="52">
        <f>314432.58+15200</f>
        <v>329632.58</v>
      </c>
      <c r="J175" s="27">
        <v>224856.07</v>
      </c>
      <c r="K175" s="27">
        <v>40000</v>
      </c>
      <c r="L175" s="121">
        <v>97667</v>
      </c>
      <c r="M175" s="27"/>
      <c r="N175" s="27">
        <v>4800</v>
      </c>
      <c r="O175" s="27">
        <v>38769</v>
      </c>
      <c r="P175" s="27"/>
      <c r="Q175" s="27">
        <v>100000</v>
      </c>
      <c r="R175" s="27"/>
      <c r="S175" s="27"/>
      <c r="T175" s="27"/>
      <c r="U175" s="27"/>
      <c r="V175" s="27"/>
      <c r="W175" s="27"/>
      <c r="X175" s="27"/>
      <c r="Y175" s="27"/>
      <c r="Z175" s="27"/>
      <c r="AA175" s="28">
        <f t="shared" si="4"/>
        <v>1513583.32</v>
      </c>
      <c r="AB175" s="132">
        <v>94911</v>
      </c>
      <c r="AC175" s="36">
        <f t="shared" si="5"/>
        <v>15.947396192222188</v>
      </c>
    </row>
    <row r="176" spans="1:29" ht="15.75">
      <c r="A176" s="30" t="s">
        <v>114</v>
      </c>
      <c r="B176" s="27">
        <v>166643.44</v>
      </c>
      <c r="C176" s="27">
        <f>1116100+87500</f>
        <v>1203600</v>
      </c>
      <c r="D176" s="27"/>
      <c r="E176" s="27"/>
      <c r="F176" s="27">
        <f>39587+38117</f>
        <v>77704</v>
      </c>
      <c r="G176" s="27">
        <v>73930</v>
      </c>
      <c r="H176" s="27">
        <v>227527</v>
      </c>
      <c r="I176" s="52">
        <v>285619.08</v>
      </c>
      <c r="J176" s="27"/>
      <c r="K176" s="27">
        <f>34500+21000</f>
        <v>55500</v>
      </c>
      <c r="L176" s="121">
        <v>89713</v>
      </c>
      <c r="M176" s="27">
        <v>201543</v>
      </c>
      <c r="N176" s="27"/>
      <c r="O176" s="27">
        <v>8112</v>
      </c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8">
        <f t="shared" si="4"/>
        <v>2389891.52</v>
      </c>
      <c r="AB176" s="132">
        <v>85778</v>
      </c>
      <c r="AC176" s="36">
        <f t="shared" si="5"/>
        <v>27.861357457623168</v>
      </c>
    </row>
    <row r="177" spans="1:29" ht="15.75">
      <c r="A177" s="30" t="s">
        <v>115</v>
      </c>
      <c r="B177" s="27">
        <v>34229.92</v>
      </c>
      <c r="C177" s="27">
        <f>46982.41+66075</f>
        <v>113057.41</v>
      </c>
      <c r="D177" s="27"/>
      <c r="E177" s="27"/>
      <c r="F177" s="27">
        <f>5413+5329</f>
        <v>10742</v>
      </c>
      <c r="G177" s="27">
        <v>33185</v>
      </c>
      <c r="H177" s="27">
        <v>93029</v>
      </c>
      <c r="I177" s="52">
        <v>80646.69</v>
      </c>
      <c r="J177" s="27"/>
      <c r="K177" s="27"/>
      <c r="L177" s="121">
        <v>33124</v>
      </c>
      <c r="M177" s="27">
        <v>47748</v>
      </c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8">
        <f t="shared" si="4"/>
        <v>445762.02</v>
      </c>
      <c r="AB177" s="132">
        <v>20808</v>
      </c>
      <c r="AC177" s="36">
        <f t="shared" si="5"/>
        <v>21.422626874279125</v>
      </c>
    </row>
    <row r="178" spans="1:29" ht="15.75">
      <c r="A178" s="30" t="s">
        <v>116</v>
      </c>
      <c r="B178" s="27">
        <v>157797.12</v>
      </c>
      <c r="C178" s="27">
        <f>75114+95328+60075+106589+66330</f>
        <v>403436</v>
      </c>
      <c r="D178" s="27"/>
      <c r="E178" s="27"/>
      <c r="F178" s="27">
        <f>48124+42802</f>
        <v>90926</v>
      </c>
      <c r="G178" s="27">
        <v>62608</v>
      </c>
      <c r="H178" s="27">
        <v>190155</v>
      </c>
      <c r="I178" s="52">
        <v>228664.08</v>
      </c>
      <c r="J178" s="27"/>
      <c r="K178" s="27"/>
      <c r="L178" s="121">
        <v>73988</v>
      </c>
      <c r="M178" s="27">
        <v>157760</v>
      </c>
      <c r="N178" s="27"/>
      <c r="O178" s="27">
        <v>10844</v>
      </c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8">
        <f t="shared" si="4"/>
        <v>1376178.2</v>
      </c>
      <c r="AB178" s="132">
        <v>67725</v>
      </c>
      <c r="AC178" s="36">
        <f t="shared" si="5"/>
        <v>20.320091546696197</v>
      </c>
    </row>
    <row r="179" spans="1:29" ht="15.75">
      <c r="A179" s="30" t="s">
        <v>117</v>
      </c>
      <c r="B179" s="27">
        <v>39001.93</v>
      </c>
      <c r="C179" s="27">
        <f>444001+130551+61740</f>
        <v>636292</v>
      </c>
      <c r="D179" s="27"/>
      <c r="E179" s="27"/>
      <c r="F179" s="27">
        <f>25264+22135</f>
        <v>47399</v>
      </c>
      <c r="G179" s="27">
        <v>39142</v>
      </c>
      <c r="H179" s="27">
        <v>112696</v>
      </c>
      <c r="I179" s="52">
        <v>110618.03</v>
      </c>
      <c r="J179" s="27"/>
      <c r="K179" s="27">
        <v>2164</v>
      </c>
      <c r="L179" s="121">
        <v>41398</v>
      </c>
      <c r="M179" s="27">
        <v>66585</v>
      </c>
      <c r="N179" s="27"/>
      <c r="O179" s="27">
        <v>6769</v>
      </c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8">
        <f t="shared" si="4"/>
        <v>1102064.96</v>
      </c>
      <c r="AB179" s="132">
        <v>29258</v>
      </c>
      <c r="AC179" s="36">
        <f t="shared" si="5"/>
        <v>37.66713240823022</v>
      </c>
    </row>
    <row r="180" spans="1:29" ht="15.75">
      <c r="A180" s="30" t="s">
        <v>118</v>
      </c>
      <c r="B180" s="27">
        <v>36208.55</v>
      </c>
      <c r="C180" s="27">
        <v>161648</v>
      </c>
      <c r="D180" s="27"/>
      <c r="E180" s="27"/>
      <c r="F180" s="27">
        <f>47212+17924+28345</f>
        <v>93481</v>
      </c>
      <c r="G180" s="27">
        <v>35655</v>
      </c>
      <c r="H180" s="27">
        <v>101184</v>
      </c>
      <c r="I180" s="52">
        <v>93073.75</v>
      </c>
      <c r="J180" s="27"/>
      <c r="K180" s="27"/>
      <c r="L180" s="121">
        <v>36555</v>
      </c>
      <c r="M180" s="27">
        <v>57076</v>
      </c>
      <c r="N180" s="27"/>
      <c r="O180" s="27">
        <v>13483</v>
      </c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8">
        <f t="shared" si="4"/>
        <v>628364.3</v>
      </c>
      <c r="AB180" s="132">
        <v>24747</v>
      </c>
      <c r="AC180" s="36">
        <f t="shared" si="5"/>
        <v>25.39153432739322</v>
      </c>
    </row>
    <row r="181" spans="1:29" ht="15.75">
      <c r="A181" s="30" t="s">
        <v>119</v>
      </c>
      <c r="B181" s="27">
        <v>35533.44</v>
      </c>
      <c r="C181" s="27">
        <v>109618</v>
      </c>
      <c r="D181" s="27"/>
      <c r="E181" s="27"/>
      <c r="F181" s="27">
        <f>48885+50430</f>
        <v>99315</v>
      </c>
      <c r="G181" s="27">
        <v>34812</v>
      </c>
      <c r="H181" s="27">
        <v>98401</v>
      </c>
      <c r="I181" s="52">
        <v>88833.6</v>
      </c>
      <c r="J181" s="27"/>
      <c r="K181" s="27"/>
      <c r="L181" s="121">
        <v>35384</v>
      </c>
      <c r="M181" s="27">
        <v>53169</v>
      </c>
      <c r="N181" s="27"/>
      <c r="O181" s="27">
        <v>13810</v>
      </c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8">
        <f t="shared" si="4"/>
        <v>568876.04</v>
      </c>
      <c r="AB181" s="132">
        <v>23403</v>
      </c>
      <c r="AC181" s="36">
        <f t="shared" si="5"/>
        <v>24.30782549245823</v>
      </c>
    </row>
    <row r="182" spans="1:29" ht="15.75">
      <c r="A182" s="30" t="s">
        <v>120</v>
      </c>
      <c r="B182" s="27">
        <v>41396.48</v>
      </c>
      <c r="C182" s="27">
        <f>582603+21150</f>
        <v>603753</v>
      </c>
      <c r="D182" s="27"/>
      <c r="E182" s="27"/>
      <c r="F182" s="27">
        <f>82361+85912</f>
        <v>168273</v>
      </c>
      <c r="G182" s="27">
        <v>42132</v>
      </c>
      <c r="H182" s="27">
        <f>122564+53172.5</f>
        <v>175736.5</v>
      </c>
      <c r="I182" s="52">
        <f>125657.33+22800</f>
        <v>148457.33000000002</v>
      </c>
      <c r="J182" s="27"/>
      <c r="K182" s="27"/>
      <c r="L182" s="121">
        <v>45550</v>
      </c>
      <c r="M182" s="27">
        <v>83455</v>
      </c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8">
        <f t="shared" si="4"/>
        <v>1308753.31</v>
      </c>
      <c r="AB182" s="132">
        <v>35075</v>
      </c>
      <c r="AC182" s="36">
        <f t="shared" si="5"/>
        <v>37.31299529579473</v>
      </c>
    </row>
    <row r="183" spans="1:29" ht="15.75">
      <c r="A183" s="30" t="s">
        <v>121</v>
      </c>
      <c r="B183" s="27">
        <v>40394.85</v>
      </c>
      <c r="C183" s="27">
        <f>356580+90182+71908+187242</f>
        <v>705912</v>
      </c>
      <c r="D183" s="27"/>
      <c r="E183" s="27"/>
      <c r="F183" s="27">
        <f>17922+2652+11895</f>
        <v>32469</v>
      </c>
      <c r="G183" s="27">
        <v>40882</v>
      </c>
      <c r="H183" s="27">
        <v>118436</v>
      </c>
      <c r="I183" s="52">
        <v>119366.5</v>
      </c>
      <c r="J183" s="27"/>
      <c r="K183" s="27"/>
      <c r="L183" s="121">
        <v>43814</v>
      </c>
      <c r="M183" s="27">
        <v>75440</v>
      </c>
      <c r="N183" s="27"/>
      <c r="O183" s="27">
        <v>2652</v>
      </c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8">
        <f t="shared" si="4"/>
        <v>1179366.35</v>
      </c>
      <c r="AB183" s="132">
        <v>33081</v>
      </c>
      <c r="AC183" s="36">
        <f t="shared" si="5"/>
        <v>35.65086756748587</v>
      </c>
    </row>
    <row r="184" spans="1:29" ht="15.75">
      <c r="A184" s="30" t="s">
        <v>122</v>
      </c>
      <c r="B184" s="27">
        <v>32559.22</v>
      </c>
      <c r="C184" s="27">
        <f>236844+68850</f>
        <v>305694</v>
      </c>
      <c r="D184" s="27"/>
      <c r="E184" s="27"/>
      <c r="F184" s="27">
        <f>4867+4797</f>
        <v>9664</v>
      </c>
      <c r="G184" s="27">
        <v>31099</v>
      </c>
      <c r="H184" s="27">
        <v>86144</v>
      </c>
      <c r="I184" s="52">
        <v>75153.57</v>
      </c>
      <c r="J184" s="27"/>
      <c r="K184" s="27"/>
      <c r="L184" s="121">
        <v>35227</v>
      </c>
      <c r="M184" s="27">
        <v>40097</v>
      </c>
      <c r="N184" s="27"/>
      <c r="O184" s="27"/>
      <c r="P184" s="27"/>
      <c r="Q184" s="27"/>
      <c r="R184" s="27"/>
      <c r="S184" s="27"/>
      <c r="T184" s="27"/>
      <c r="U184" s="27">
        <v>220000</v>
      </c>
      <c r="V184" s="27"/>
      <c r="W184" s="27"/>
      <c r="X184" s="27"/>
      <c r="Y184" s="27"/>
      <c r="Z184" s="27"/>
      <c r="AA184" s="28">
        <f t="shared" si="4"/>
        <v>835637.79</v>
      </c>
      <c r="AB184" s="132">
        <v>17482</v>
      </c>
      <c r="AC184" s="36">
        <f t="shared" si="5"/>
        <v>47.799896464935365</v>
      </c>
    </row>
    <row r="185" spans="1:29" ht="15.75">
      <c r="A185" s="30" t="s">
        <v>123</v>
      </c>
      <c r="B185" s="27">
        <v>69184.63</v>
      </c>
      <c r="C185" s="27">
        <v>594395</v>
      </c>
      <c r="D185" s="27"/>
      <c r="E185" s="27"/>
      <c r="F185" s="27">
        <f>61471+66486</f>
        <v>127957</v>
      </c>
      <c r="G185" s="27">
        <v>76825</v>
      </c>
      <c r="H185" s="27">
        <f>237085+83333</f>
        <v>320418</v>
      </c>
      <c r="I185" s="52">
        <v>300185.15</v>
      </c>
      <c r="J185" s="27">
        <v>239112.99</v>
      </c>
      <c r="K185" s="27"/>
      <c r="L185" s="121">
        <v>93734</v>
      </c>
      <c r="M185" s="27"/>
      <c r="N185" s="27"/>
      <c r="O185" s="27">
        <v>23509</v>
      </c>
      <c r="P185" s="27"/>
      <c r="Q185" s="27">
        <v>49335.72</v>
      </c>
      <c r="R185" s="27"/>
      <c r="S185" s="27"/>
      <c r="T185" s="27"/>
      <c r="U185" s="27"/>
      <c r="V185" s="27"/>
      <c r="W185" s="27"/>
      <c r="X185" s="27"/>
      <c r="Y185" s="27"/>
      <c r="Z185" s="27"/>
      <c r="AA185" s="28">
        <f t="shared" si="4"/>
        <v>1894656.4899999998</v>
      </c>
      <c r="AB185" s="132">
        <v>90395</v>
      </c>
      <c r="AC185" s="36">
        <f t="shared" si="5"/>
        <v>20.959748769290336</v>
      </c>
    </row>
    <row r="186" spans="1:29" ht="15.75">
      <c r="A186" s="30" t="s">
        <v>124</v>
      </c>
      <c r="B186" s="27">
        <v>70214.88</v>
      </c>
      <c r="C186" s="27">
        <v>343709</v>
      </c>
      <c r="D186" s="27"/>
      <c r="E186" s="27"/>
      <c r="F186" s="27">
        <f>85835+89990</f>
        <v>175825</v>
      </c>
      <c r="G186" s="27">
        <v>78112</v>
      </c>
      <c r="H186" s="27">
        <v>241331</v>
      </c>
      <c r="I186" s="52">
        <v>311655.8</v>
      </c>
      <c r="J186" s="27"/>
      <c r="K186" s="27"/>
      <c r="L186" s="121">
        <v>100520</v>
      </c>
      <c r="M186" s="27">
        <v>240894</v>
      </c>
      <c r="N186" s="27"/>
      <c r="O186" s="27">
        <v>24623</v>
      </c>
      <c r="P186" s="27"/>
      <c r="Q186" s="27"/>
      <c r="R186" s="27">
        <v>68334</v>
      </c>
      <c r="S186" s="27"/>
      <c r="T186" s="27"/>
      <c r="U186" s="27"/>
      <c r="V186" s="27"/>
      <c r="W186" s="27"/>
      <c r="X186" s="27"/>
      <c r="Y186" s="27"/>
      <c r="Z186" s="27"/>
      <c r="AA186" s="28">
        <f t="shared" si="4"/>
        <v>1655218.68</v>
      </c>
      <c r="AB186" s="132">
        <v>92446</v>
      </c>
      <c r="AC186" s="36">
        <f t="shared" si="5"/>
        <v>17.904708478463103</v>
      </c>
    </row>
    <row r="187" spans="1:29" ht="15.75">
      <c r="A187" s="30" t="s">
        <v>125</v>
      </c>
      <c r="B187" s="27">
        <v>35759.48</v>
      </c>
      <c r="C187" s="27">
        <v>303404</v>
      </c>
      <c r="D187" s="27"/>
      <c r="E187" s="27"/>
      <c r="F187" s="27">
        <f>5912+5816</f>
        <v>11728</v>
      </c>
      <c r="G187" s="27">
        <v>35094</v>
      </c>
      <c r="H187" s="27">
        <v>99333</v>
      </c>
      <c r="I187" s="27">
        <v>90253.29</v>
      </c>
      <c r="J187" s="27"/>
      <c r="K187" s="27"/>
      <c r="L187" s="121">
        <v>35776</v>
      </c>
      <c r="M187" s="27">
        <v>54316</v>
      </c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8">
        <f t="shared" si="4"/>
        <v>665663.77</v>
      </c>
      <c r="AB187" s="132">
        <v>23853</v>
      </c>
      <c r="AC187" s="36">
        <f t="shared" si="5"/>
        <v>27.906920303525762</v>
      </c>
    </row>
    <row r="188" spans="1:29" ht="15.75">
      <c r="A188" s="30" t="s">
        <v>126</v>
      </c>
      <c r="B188" s="27">
        <v>55763.73</v>
      </c>
      <c r="C188" s="27">
        <f>279454+59513</f>
        <v>338967</v>
      </c>
      <c r="D188" s="27"/>
      <c r="E188" s="27"/>
      <c r="F188" s="27">
        <f>44782+2412+45150</f>
        <v>92344</v>
      </c>
      <c r="G188" s="27">
        <v>60069</v>
      </c>
      <c r="H188" s="27">
        <v>181775</v>
      </c>
      <c r="I188" s="52">
        <v>220893.13</v>
      </c>
      <c r="J188" s="27">
        <v>184619.87</v>
      </c>
      <c r="K188" s="27"/>
      <c r="L188" s="121">
        <v>75463</v>
      </c>
      <c r="M188" s="27"/>
      <c r="N188" s="27"/>
      <c r="O188" s="27">
        <v>11032</v>
      </c>
      <c r="P188" s="27"/>
      <c r="Q188" s="27">
        <v>66000</v>
      </c>
      <c r="R188" s="27"/>
      <c r="S188" s="27"/>
      <c r="T188" s="27"/>
      <c r="U188" s="27">
        <v>220000</v>
      </c>
      <c r="V188" s="27"/>
      <c r="W188" s="27"/>
      <c r="X188" s="27"/>
      <c r="Y188" s="27"/>
      <c r="Z188" s="27"/>
      <c r="AA188" s="28">
        <f t="shared" si="4"/>
        <v>1506926.73</v>
      </c>
      <c r="AB188" s="132">
        <v>63677</v>
      </c>
      <c r="AC188" s="36">
        <f t="shared" si="5"/>
        <v>23.66516528730939</v>
      </c>
    </row>
    <row r="189" spans="1:29" ht="15.75">
      <c r="A189" s="30" t="s">
        <v>127</v>
      </c>
      <c r="B189" s="27">
        <v>27208.04</v>
      </c>
      <c r="C189" s="27"/>
      <c r="D189" s="27"/>
      <c r="E189" s="27"/>
      <c r="F189" s="27">
        <f>11316+10664</f>
        <v>21980</v>
      </c>
      <c r="G189" s="27">
        <v>24418</v>
      </c>
      <c r="H189" s="27">
        <v>64091</v>
      </c>
      <c r="I189" s="52">
        <v>41544.66</v>
      </c>
      <c r="J189" s="27">
        <v>85771.9</v>
      </c>
      <c r="K189" s="27"/>
      <c r="L189" s="121">
        <v>25948</v>
      </c>
      <c r="M189" s="27"/>
      <c r="N189" s="27"/>
      <c r="O189" s="27"/>
      <c r="P189" s="27"/>
      <c r="Q189" s="27"/>
      <c r="R189" s="27"/>
      <c r="S189" s="27"/>
      <c r="T189" s="27"/>
      <c r="U189" s="27">
        <v>220000</v>
      </c>
      <c r="V189" s="27"/>
      <c r="W189" s="27"/>
      <c r="X189" s="27"/>
      <c r="Y189" s="27"/>
      <c r="Z189" s="27"/>
      <c r="AA189" s="28">
        <f t="shared" si="4"/>
        <v>510961.6</v>
      </c>
      <c r="AB189" s="132">
        <v>6829</v>
      </c>
      <c r="AC189" s="36">
        <f t="shared" si="5"/>
        <v>74.82231659100893</v>
      </c>
    </row>
    <row r="190" spans="1:29" ht="15.75">
      <c r="A190" s="30" t="s">
        <v>128</v>
      </c>
      <c r="B190" s="27">
        <v>30058.68</v>
      </c>
      <c r="C190" s="27">
        <v>229905</v>
      </c>
      <c r="D190" s="27"/>
      <c r="E190" s="27"/>
      <c r="F190" s="27">
        <f>4051+4001</f>
        <v>8052</v>
      </c>
      <c r="G190" s="27">
        <v>27977</v>
      </c>
      <c r="H190" s="27">
        <v>75839</v>
      </c>
      <c r="I190" s="52">
        <v>59448.59</v>
      </c>
      <c r="J190" s="27"/>
      <c r="K190" s="27"/>
      <c r="L190" s="121">
        <v>30891</v>
      </c>
      <c r="M190" s="27">
        <v>28085</v>
      </c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8">
        <f t="shared" si="4"/>
        <v>490256.27</v>
      </c>
      <c r="AB190" s="132">
        <v>12504</v>
      </c>
      <c r="AC190" s="36">
        <f t="shared" si="5"/>
        <v>39.2079550543826</v>
      </c>
    </row>
    <row r="191" spans="1:29" ht="15.75">
      <c r="A191" s="30" t="s">
        <v>129</v>
      </c>
      <c r="B191" s="27">
        <v>46180.04</v>
      </c>
      <c r="C191" s="27">
        <f>520899+108792</f>
        <v>629691</v>
      </c>
      <c r="D191" s="27"/>
      <c r="E191" s="27"/>
      <c r="F191" s="27">
        <f>29704+28978</f>
        <v>58682</v>
      </c>
      <c r="G191" s="27">
        <v>48104</v>
      </c>
      <c r="H191" s="27">
        <v>142278</v>
      </c>
      <c r="I191" s="52">
        <f>155701.23+10640</f>
        <v>166341.23</v>
      </c>
      <c r="J191" s="27"/>
      <c r="K191" s="27">
        <f>10000+5750</f>
        <v>15750</v>
      </c>
      <c r="L191" s="121">
        <v>53845</v>
      </c>
      <c r="M191" s="27">
        <v>101142</v>
      </c>
      <c r="N191" s="27">
        <v>3360</v>
      </c>
      <c r="O191" s="27">
        <v>7192</v>
      </c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8">
        <f t="shared" si="4"/>
        <v>1272565.27</v>
      </c>
      <c r="AB191" s="132">
        <v>44598</v>
      </c>
      <c r="AC191" s="36">
        <f t="shared" si="5"/>
        <v>28.53413314498408</v>
      </c>
    </row>
    <row r="192" spans="1:29" ht="15.75">
      <c r="A192" s="30" t="s">
        <v>156</v>
      </c>
      <c r="B192" s="27">
        <v>555141.82</v>
      </c>
      <c r="C192" s="27">
        <v>508124</v>
      </c>
      <c r="D192" s="27">
        <v>280000</v>
      </c>
      <c r="E192" s="27"/>
      <c r="F192" s="27">
        <f>189922+163730+76361</f>
        <v>430013</v>
      </c>
      <c r="G192" s="27">
        <v>286830</v>
      </c>
      <c r="H192" s="27">
        <v>930300</v>
      </c>
      <c r="I192" s="52">
        <f>1361633.74+30400</f>
        <v>1392033.74</v>
      </c>
      <c r="J192" s="27">
        <v>753629.39</v>
      </c>
      <c r="K192" s="27">
        <f>35000+11500+40000</f>
        <v>86500</v>
      </c>
      <c r="L192" s="121">
        <v>390399</v>
      </c>
      <c r="M192" s="27"/>
      <c r="N192" s="27">
        <v>9600</v>
      </c>
      <c r="O192" s="27">
        <v>52914</v>
      </c>
      <c r="P192" s="27"/>
      <c r="Q192" s="27">
        <v>100000</v>
      </c>
      <c r="R192" s="27"/>
      <c r="S192" s="27"/>
      <c r="T192" s="27"/>
      <c r="U192" s="27">
        <v>220000</v>
      </c>
      <c r="V192" s="27"/>
      <c r="W192" s="27"/>
      <c r="X192" s="27"/>
      <c r="Y192" s="38">
        <v>506599</v>
      </c>
      <c r="Z192" s="27"/>
      <c r="AA192" s="28">
        <f t="shared" si="4"/>
        <v>6502083.949999999</v>
      </c>
      <c r="AB192" s="132">
        <v>425257</v>
      </c>
      <c r="AC192" s="36">
        <f t="shared" si="5"/>
        <v>15.28977524179496</v>
      </c>
    </row>
    <row r="193" spans="1:29" ht="15.75">
      <c r="A193" s="30" t="s">
        <v>130</v>
      </c>
      <c r="B193" s="27">
        <v>39642.89</v>
      </c>
      <c r="C193" s="27">
        <f>166500+76564+57420</f>
        <v>300484</v>
      </c>
      <c r="D193" s="27"/>
      <c r="E193" s="27"/>
      <c r="F193" s="27">
        <f>7180+7053</f>
        <v>14233</v>
      </c>
      <c r="G193" s="27">
        <v>39943</v>
      </c>
      <c r="H193" s="27">
        <f>115337+53172.5</f>
        <v>168509.5</v>
      </c>
      <c r="I193" s="52">
        <v>114643.65</v>
      </c>
      <c r="J193" s="27"/>
      <c r="K193" s="27"/>
      <c r="L193" s="121">
        <v>42510</v>
      </c>
      <c r="M193" s="27">
        <v>75630</v>
      </c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8">
        <f t="shared" si="4"/>
        <v>795596.04</v>
      </c>
      <c r="AB193" s="132">
        <v>31584</v>
      </c>
      <c r="AC193" s="36">
        <f t="shared" si="5"/>
        <v>25.189844224924013</v>
      </c>
    </row>
    <row r="194" spans="1:29" ht="15.75">
      <c r="A194" s="30" t="s">
        <v>131</v>
      </c>
      <c r="B194" s="27">
        <v>49447.61</v>
      </c>
      <c r="C194" s="27">
        <f>224722+143955+74880</f>
        <v>443557</v>
      </c>
      <c r="D194" s="27"/>
      <c r="E194" s="27"/>
      <c r="F194" s="27">
        <f>24037+22228</f>
        <v>46265</v>
      </c>
      <c r="G194" s="27">
        <v>52184</v>
      </c>
      <c r="H194" s="27">
        <v>155745</v>
      </c>
      <c r="I194" s="52">
        <v>176223.7</v>
      </c>
      <c r="J194" s="27"/>
      <c r="K194" s="27"/>
      <c r="L194" s="121">
        <v>59511</v>
      </c>
      <c r="M194" s="27">
        <v>117964</v>
      </c>
      <c r="N194" s="27"/>
      <c r="O194" s="27">
        <v>4383</v>
      </c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8">
        <f t="shared" si="4"/>
        <v>1105280.31</v>
      </c>
      <c r="AB194" s="132">
        <v>51103</v>
      </c>
      <c r="AC194" s="36">
        <f t="shared" si="5"/>
        <v>21.62848188951725</v>
      </c>
    </row>
    <row r="195" spans="1:29" ht="15.75">
      <c r="A195" s="30" t="s">
        <v>132</v>
      </c>
      <c r="B195" s="27">
        <v>33582.94</v>
      </c>
      <c r="C195" s="27">
        <f>154594+45000</f>
        <v>199594</v>
      </c>
      <c r="D195" s="27"/>
      <c r="E195" s="27"/>
      <c r="F195" s="27">
        <f>5201+5123</f>
        <v>10324</v>
      </c>
      <c r="G195" s="27">
        <v>32377</v>
      </c>
      <c r="H195" s="27">
        <v>90363</v>
      </c>
      <c r="I195" s="52">
        <v>76583.21</v>
      </c>
      <c r="J195" s="27"/>
      <c r="K195" s="27"/>
      <c r="L195" s="121">
        <v>32002</v>
      </c>
      <c r="M195" s="27">
        <v>46270</v>
      </c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8">
        <f t="shared" si="4"/>
        <v>521096.15</v>
      </c>
      <c r="AB195" s="132">
        <v>19520</v>
      </c>
      <c r="AC195" s="36">
        <f t="shared" si="5"/>
        <v>26.695499487704918</v>
      </c>
    </row>
    <row r="196" spans="1:29" ht="15.75">
      <c r="A196" s="30" t="s">
        <v>133</v>
      </c>
      <c r="B196" s="27">
        <v>32175.44</v>
      </c>
      <c r="C196" s="27">
        <f>108315+39011+75285+225000</f>
        <v>447611</v>
      </c>
      <c r="D196" s="27"/>
      <c r="E196" s="27"/>
      <c r="F196" s="27">
        <f>4742+4675</f>
        <v>9417</v>
      </c>
      <c r="G196" s="27">
        <v>30620</v>
      </c>
      <c r="H196" s="27">
        <v>84562</v>
      </c>
      <c r="I196" s="52">
        <v>72743.24</v>
      </c>
      <c r="J196" s="27">
        <v>101454.51</v>
      </c>
      <c r="K196" s="27"/>
      <c r="L196" s="121">
        <v>34561</v>
      </c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8">
        <f t="shared" si="4"/>
        <v>813144.19</v>
      </c>
      <c r="AB196" s="132">
        <v>16718</v>
      </c>
      <c r="AC196" s="36">
        <f t="shared" si="5"/>
        <v>48.638843761215455</v>
      </c>
    </row>
    <row r="197" spans="1:29" ht="15.75">
      <c r="A197" s="30" t="s">
        <v>134</v>
      </c>
      <c r="B197" s="27">
        <v>154833.52</v>
      </c>
      <c r="C197" s="27">
        <v>124200</v>
      </c>
      <c r="D197" s="27"/>
      <c r="E197" s="27"/>
      <c r="F197" s="27">
        <f>3968+3920</f>
        <v>7888</v>
      </c>
      <c r="G197" s="27">
        <v>27660</v>
      </c>
      <c r="H197" s="27">
        <v>74791</v>
      </c>
      <c r="I197" s="52">
        <f>57852.22+10640</f>
        <v>68492.22</v>
      </c>
      <c r="J197" s="27"/>
      <c r="K197" s="27">
        <f>10000+4600+2000</f>
        <v>16600</v>
      </c>
      <c r="L197" s="121">
        <f>30450+20000</f>
        <v>50450</v>
      </c>
      <c r="M197" s="27">
        <v>26872</v>
      </c>
      <c r="N197" s="27">
        <v>3360</v>
      </c>
      <c r="O197" s="27"/>
      <c r="P197" s="27"/>
      <c r="Q197" s="27"/>
      <c r="R197" s="27"/>
      <c r="S197" s="27"/>
      <c r="T197" s="27"/>
      <c r="U197" s="27">
        <v>220000</v>
      </c>
      <c r="V197" s="27"/>
      <c r="W197" s="27"/>
      <c r="X197" s="27"/>
      <c r="Y197" s="27"/>
      <c r="Z197" s="27"/>
      <c r="AA197" s="28">
        <f aca="true" t="shared" si="6" ref="AA197:AA204">SUM(B197:Z197)</f>
        <v>775146.74</v>
      </c>
      <c r="AB197" s="132">
        <v>11998</v>
      </c>
      <c r="AC197" s="36">
        <f>AA197/AB197</f>
        <v>64.60632938823137</v>
      </c>
    </row>
    <row r="198" spans="1:29" ht="15.75">
      <c r="A198" s="30" t="s">
        <v>135</v>
      </c>
      <c r="B198" s="27">
        <v>35624.87</v>
      </c>
      <c r="C198" s="27">
        <f>123671+62915+61200+86775</f>
        <v>334561</v>
      </c>
      <c r="D198" s="27"/>
      <c r="E198" s="27"/>
      <c r="F198" s="27">
        <f>27622+32484</f>
        <v>60106</v>
      </c>
      <c r="G198" s="27">
        <v>34926</v>
      </c>
      <c r="H198" s="27">
        <f>98778+1398.5+53172.5+99790.35</f>
        <v>253139.35</v>
      </c>
      <c r="I198" s="52">
        <f>89407.79+9120</f>
        <v>98527.79</v>
      </c>
      <c r="J198" s="27"/>
      <c r="K198" s="27">
        <f>12000+11500</f>
        <v>23500</v>
      </c>
      <c r="L198" s="121">
        <v>35543</v>
      </c>
      <c r="M198" s="27">
        <v>55678</v>
      </c>
      <c r="N198" s="27">
        <v>2880</v>
      </c>
      <c r="O198" s="27">
        <v>18078</v>
      </c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8">
        <f t="shared" si="6"/>
        <v>952564.01</v>
      </c>
      <c r="AB198" s="132">
        <v>23585</v>
      </c>
      <c r="AC198" s="36">
        <f>AA198/AB198</f>
        <v>40.38855246979012</v>
      </c>
    </row>
    <row r="199" spans="1:29" ht="15.75">
      <c r="A199" s="30" t="s">
        <v>136</v>
      </c>
      <c r="B199" s="27">
        <v>43932.17</v>
      </c>
      <c r="C199" s="27">
        <f>169763+59516+42068+85941</f>
        <v>357288</v>
      </c>
      <c r="D199" s="27"/>
      <c r="E199" s="27"/>
      <c r="F199" s="27">
        <f>8580+8420</f>
        <v>17000</v>
      </c>
      <c r="G199" s="27">
        <v>45298</v>
      </c>
      <c r="H199" s="27">
        <v>133014</v>
      </c>
      <c r="I199" s="52">
        <f>141583.15+5244</f>
        <v>146827.15</v>
      </c>
      <c r="J199" s="27"/>
      <c r="K199" s="27">
        <f>7000+6900</f>
        <v>13900</v>
      </c>
      <c r="L199" s="121">
        <v>49947</v>
      </c>
      <c r="M199" s="27">
        <v>95854</v>
      </c>
      <c r="N199" s="27">
        <v>1656</v>
      </c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8">
        <f t="shared" si="6"/>
        <v>904716.32</v>
      </c>
      <c r="AB199" s="132">
        <v>42209</v>
      </c>
      <c r="AC199" s="36">
        <f>AA199/AB199</f>
        <v>21.43420407969864</v>
      </c>
    </row>
    <row r="200" spans="1:29" ht="15.75">
      <c r="A200" s="30" t="s">
        <v>137</v>
      </c>
      <c r="B200" s="27">
        <v>37641.17</v>
      </c>
      <c r="C200" s="27">
        <f>542874+96436+60435+67208</f>
        <v>766953</v>
      </c>
      <c r="D200" s="27"/>
      <c r="E200" s="27"/>
      <c r="F200" s="27">
        <f>44868+6509+41224</f>
        <v>92601</v>
      </c>
      <c r="G200" s="27">
        <v>37444</v>
      </c>
      <c r="H200" s="27">
        <v>107088</v>
      </c>
      <c r="I200" s="52">
        <v>102071.46</v>
      </c>
      <c r="J200" s="27">
        <v>118879.63</v>
      </c>
      <c r="K200" s="27"/>
      <c r="L200" s="121">
        <v>39039</v>
      </c>
      <c r="M200" s="27"/>
      <c r="N200" s="27"/>
      <c r="O200" s="27">
        <v>13017</v>
      </c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8">
        <f t="shared" si="6"/>
        <v>1314734.2600000002</v>
      </c>
      <c r="AB200" s="132">
        <v>27599</v>
      </c>
      <c r="AC200" s="36">
        <f>AA200/AB200</f>
        <v>47.637025254538216</v>
      </c>
    </row>
    <row r="201" spans="1:29" s="7" customFormat="1" ht="15.75">
      <c r="A201" s="30" t="s">
        <v>138</v>
      </c>
      <c r="B201" s="27">
        <v>135389.97</v>
      </c>
      <c r="C201" s="27">
        <v>135485</v>
      </c>
      <c r="D201" s="27"/>
      <c r="E201" s="27"/>
      <c r="F201" s="27">
        <f>161397+166480+3979.67</f>
        <v>331856.67</v>
      </c>
      <c r="G201" s="27">
        <v>55441</v>
      </c>
      <c r="H201" s="27">
        <f>166497+100000</f>
        <v>266497</v>
      </c>
      <c r="I201" s="52">
        <f>197610.14+7600</f>
        <v>205210.14</v>
      </c>
      <c r="J201" s="27">
        <v>168145.21</v>
      </c>
      <c r="K201" s="27">
        <f>10000+9200+7000</f>
        <v>26200</v>
      </c>
      <c r="L201" s="121">
        <f>69035+20000</f>
        <v>89035</v>
      </c>
      <c r="M201" s="27"/>
      <c r="N201" s="27">
        <v>2400</v>
      </c>
      <c r="O201" s="27">
        <v>45529</v>
      </c>
      <c r="P201" s="27"/>
      <c r="Q201" s="27">
        <v>24924.05</v>
      </c>
      <c r="R201" s="27">
        <v>37344</v>
      </c>
      <c r="S201" s="27"/>
      <c r="T201" s="27"/>
      <c r="U201" s="27">
        <v>220000</v>
      </c>
      <c r="V201" s="27"/>
      <c r="W201" s="27"/>
      <c r="X201" s="27"/>
      <c r="Y201" s="27"/>
      <c r="Z201" s="27"/>
      <c r="AA201" s="28">
        <f t="shared" si="6"/>
        <v>1743457.0399999998</v>
      </c>
      <c r="AB201" s="37">
        <v>56297</v>
      </c>
      <c r="AC201" s="36">
        <f>AA201/AB201</f>
        <v>30.968915572765862</v>
      </c>
    </row>
    <row r="202" spans="1:30" s="17" customFormat="1" ht="15.75">
      <c r="A202" s="133" t="s">
        <v>158</v>
      </c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122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8"/>
      <c r="AB202" s="37"/>
      <c r="AC202" s="36"/>
      <c r="AD202" s="16"/>
    </row>
    <row r="203" spans="1:30" ht="15.75">
      <c r="A203" s="134" t="s">
        <v>160</v>
      </c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122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>
        <f>89792353+77500000+4500000</f>
        <v>171792353</v>
      </c>
      <c r="AA203" s="28">
        <f t="shared" si="6"/>
        <v>171792353</v>
      </c>
      <c r="AB203" s="37">
        <v>1815197</v>
      </c>
      <c r="AC203" s="36"/>
      <c r="AD203" s="14"/>
    </row>
    <row r="204" spans="1:30" s="15" customFormat="1" ht="16.5" thickBot="1">
      <c r="A204" s="134" t="s">
        <v>161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136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>
        <v>6504772</v>
      </c>
      <c r="AA204" s="32">
        <f t="shared" si="6"/>
        <v>6504772</v>
      </c>
      <c r="AB204" s="42">
        <v>823176</v>
      </c>
      <c r="AC204" s="43"/>
      <c r="AD204" s="18"/>
    </row>
    <row r="205" spans="1:29" s="108" customFormat="1" ht="16.5" thickTop="1">
      <c r="A205" s="130" t="s">
        <v>152</v>
      </c>
      <c r="B205" s="44">
        <f>SUM(B68:B204)</f>
        <v>9714281.279999996</v>
      </c>
      <c r="C205" s="44">
        <f aca="true" t="shared" si="7" ref="C205:Z205">SUM(C68:C204)</f>
        <v>33147992.41</v>
      </c>
      <c r="D205" s="44">
        <f t="shared" si="7"/>
        <v>1680000</v>
      </c>
      <c r="E205" s="44">
        <f t="shared" si="7"/>
        <v>48600000</v>
      </c>
      <c r="F205" s="44">
        <f>SUM(F68:F204)</f>
        <v>10527695.17</v>
      </c>
      <c r="G205" s="44">
        <f t="shared" si="7"/>
        <v>7139201</v>
      </c>
      <c r="H205" s="44">
        <f t="shared" si="7"/>
        <v>23436695.299999997</v>
      </c>
      <c r="I205" s="44">
        <f t="shared" si="7"/>
        <v>25006047.989999983</v>
      </c>
      <c r="J205" s="44">
        <f t="shared" si="7"/>
        <v>9375239.760000004</v>
      </c>
      <c r="K205" s="44">
        <f t="shared" si="7"/>
        <v>1246015</v>
      </c>
      <c r="L205" s="44">
        <f aca="true" t="shared" si="8" ref="L205:Q205">SUM(L68:L204)</f>
        <v>8518000</v>
      </c>
      <c r="M205" s="44">
        <f t="shared" si="8"/>
        <v>6370031</v>
      </c>
      <c r="N205" s="44">
        <f t="shared" si="8"/>
        <v>142752</v>
      </c>
      <c r="O205" s="44">
        <f t="shared" si="8"/>
        <v>1331750</v>
      </c>
      <c r="P205" s="44">
        <f t="shared" si="8"/>
        <v>455184</v>
      </c>
      <c r="Q205" s="44">
        <f t="shared" si="8"/>
        <v>1730997.1400000001</v>
      </c>
      <c r="R205" s="44">
        <f t="shared" si="7"/>
        <v>442120</v>
      </c>
      <c r="S205" s="44">
        <f t="shared" si="7"/>
        <v>0</v>
      </c>
      <c r="T205" s="44">
        <f t="shared" si="7"/>
        <v>0</v>
      </c>
      <c r="U205" s="44">
        <f t="shared" si="7"/>
        <v>6080000</v>
      </c>
      <c r="V205" s="44">
        <f t="shared" si="7"/>
        <v>0</v>
      </c>
      <c r="W205" s="44">
        <f t="shared" si="7"/>
        <v>0</v>
      </c>
      <c r="X205" s="44">
        <f t="shared" si="7"/>
        <v>0</v>
      </c>
      <c r="Y205" s="44">
        <f t="shared" si="7"/>
        <v>1370359</v>
      </c>
      <c r="Z205" s="44">
        <f t="shared" si="7"/>
        <v>178297125</v>
      </c>
      <c r="AA205" s="23">
        <f>SUM(B205:Z205)</f>
        <v>374611486.04999995</v>
      </c>
      <c r="AB205" s="34">
        <f>SUM(AB68:AB201)</f>
        <v>7078494</v>
      </c>
      <c r="AC205" s="135">
        <f>(AA205-AA202)/AB205</f>
        <v>52.922484083478764</v>
      </c>
    </row>
    <row r="206" spans="1:29" s="76" customFormat="1" ht="15.75">
      <c r="A206" s="71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35"/>
      <c r="M206" s="35"/>
      <c r="N206" s="35"/>
      <c r="O206" s="35"/>
      <c r="P206" s="35"/>
      <c r="Q206" s="35"/>
      <c r="R206" s="72"/>
      <c r="S206" s="72"/>
      <c r="T206" s="72"/>
      <c r="U206" s="72"/>
      <c r="V206" s="72"/>
      <c r="W206" s="72"/>
      <c r="X206" s="72"/>
      <c r="Y206" s="72"/>
      <c r="Z206" s="72"/>
      <c r="AA206" s="73"/>
      <c r="AB206" s="74"/>
      <c r="AC206" s="75"/>
    </row>
    <row r="207" spans="1:30" s="7" customFormat="1" ht="15.75" customHeight="1">
      <c r="A207" s="51" t="s">
        <v>186</v>
      </c>
      <c r="B207" s="24"/>
      <c r="C207" s="24"/>
      <c r="D207" s="24" t="s">
        <v>2</v>
      </c>
      <c r="E207" s="24"/>
      <c r="F207" s="24"/>
      <c r="G207" s="24"/>
      <c r="H207" s="24"/>
      <c r="I207" s="35"/>
      <c r="J207" s="24"/>
      <c r="K207" s="24"/>
      <c r="L207" s="35"/>
      <c r="M207" s="35"/>
      <c r="N207" s="35"/>
      <c r="O207" s="35"/>
      <c r="P207" s="35"/>
      <c r="Q207" s="35"/>
      <c r="R207" s="24"/>
      <c r="S207" s="24"/>
      <c r="T207" s="24"/>
      <c r="U207" s="24"/>
      <c r="V207" s="24"/>
      <c r="W207" s="24"/>
      <c r="X207" s="24"/>
      <c r="Y207" s="24"/>
      <c r="Z207" s="24"/>
      <c r="AA207" s="96"/>
      <c r="AB207" s="24"/>
      <c r="AC207" s="56"/>
      <c r="AD207" s="62"/>
    </row>
    <row r="208" spans="1:30" ht="15.75" customHeight="1">
      <c r="A208" s="116" t="s">
        <v>201</v>
      </c>
      <c r="B208" s="27"/>
      <c r="C208" s="27"/>
      <c r="D208" s="27"/>
      <c r="E208" s="27"/>
      <c r="F208" s="27"/>
      <c r="G208" s="27"/>
      <c r="H208" s="27"/>
      <c r="I208" s="27">
        <v>20000</v>
      </c>
      <c r="J208" s="27"/>
      <c r="K208" s="27"/>
      <c r="L208" s="27">
        <v>20000</v>
      </c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8">
        <f aca="true" t="shared" si="9" ref="AA208:AA246">SUM(B208:Z208)</f>
        <v>40000</v>
      </c>
      <c r="AB208" s="37"/>
      <c r="AC208" s="45"/>
      <c r="AD208" s="57"/>
    </row>
    <row r="209" spans="1:30" ht="15.75" customHeight="1">
      <c r="A209" s="116" t="s">
        <v>202</v>
      </c>
      <c r="B209" s="27"/>
      <c r="C209" s="27"/>
      <c r="D209" s="27"/>
      <c r="E209" s="27"/>
      <c r="F209" s="27"/>
      <c r="G209" s="27"/>
      <c r="H209" s="27"/>
      <c r="I209" s="27">
        <v>20000</v>
      </c>
      <c r="J209" s="27"/>
      <c r="K209" s="27"/>
      <c r="L209" s="27">
        <v>20000</v>
      </c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8">
        <f t="shared" si="9"/>
        <v>40000</v>
      </c>
      <c r="AB209" s="37"/>
      <c r="AC209" s="45"/>
      <c r="AD209" s="57"/>
    </row>
    <row r="210" spans="1:30" ht="15.75" customHeight="1">
      <c r="A210" s="116" t="s">
        <v>187</v>
      </c>
      <c r="B210" s="27"/>
      <c r="C210" s="27"/>
      <c r="D210" s="27"/>
      <c r="E210" s="27"/>
      <c r="F210" s="27"/>
      <c r="G210" s="27"/>
      <c r="H210" s="27"/>
      <c r="I210" s="27">
        <v>45409.5</v>
      </c>
      <c r="J210" s="27"/>
      <c r="K210" s="27"/>
      <c r="L210" s="27">
        <v>45409.5</v>
      </c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8">
        <f t="shared" si="9"/>
        <v>90819</v>
      </c>
      <c r="AB210" s="37"/>
      <c r="AC210" s="45"/>
      <c r="AD210" s="57"/>
    </row>
    <row r="211" spans="1:30" ht="15.75" customHeight="1">
      <c r="A211" s="116" t="s">
        <v>203</v>
      </c>
      <c r="B211" s="27"/>
      <c r="C211" s="27"/>
      <c r="D211" s="27"/>
      <c r="E211" s="27"/>
      <c r="F211" s="27"/>
      <c r="G211" s="27"/>
      <c r="H211" s="27"/>
      <c r="I211" s="27">
        <v>20000</v>
      </c>
      <c r="J211" s="27"/>
      <c r="K211" s="27"/>
      <c r="L211" s="27">
        <v>20000</v>
      </c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8">
        <f t="shared" si="9"/>
        <v>40000</v>
      </c>
      <c r="AB211" s="37"/>
      <c r="AC211" s="45"/>
      <c r="AD211" s="57"/>
    </row>
    <row r="212" spans="1:30" ht="15.75" customHeight="1">
      <c r="A212" s="116" t="s">
        <v>204</v>
      </c>
      <c r="B212" s="27"/>
      <c r="C212" s="27"/>
      <c r="D212" s="27"/>
      <c r="E212" s="27"/>
      <c r="F212" s="27"/>
      <c r="G212" s="27"/>
      <c r="H212" s="27"/>
      <c r="I212" s="27">
        <v>20000</v>
      </c>
      <c r="J212" s="27"/>
      <c r="K212" s="27"/>
      <c r="L212" s="27">
        <v>20000</v>
      </c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8">
        <f t="shared" si="9"/>
        <v>40000</v>
      </c>
      <c r="AB212" s="37"/>
      <c r="AC212" s="45"/>
      <c r="AD212" s="57"/>
    </row>
    <row r="213" spans="1:30" ht="15.75" customHeight="1">
      <c r="A213" s="116" t="s">
        <v>205</v>
      </c>
      <c r="B213" s="27"/>
      <c r="C213" s="27"/>
      <c r="D213" s="27"/>
      <c r="E213" s="27"/>
      <c r="F213" s="27"/>
      <c r="G213" s="27"/>
      <c r="H213" s="27"/>
      <c r="I213" s="27">
        <v>20000</v>
      </c>
      <c r="J213" s="27"/>
      <c r="K213" s="27"/>
      <c r="L213" s="27">
        <v>20000</v>
      </c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8">
        <f t="shared" si="9"/>
        <v>40000</v>
      </c>
      <c r="AB213" s="37"/>
      <c r="AC213" s="45"/>
      <c r="AD213" s="57"/>
    </row>
    <row r="214" spans="1:30" ht="15.75" customHeight="1">
      <c r="A214" s="116" t="s">
        <v>188</v>
      </c>
      <c r="B214" s="27"/>
      <c r="C214" s="27"/>
      <c r="D214" s="27"/>
      <c r="E214" s="27"/>
      <c r="F214" s="27"/>
      <c r="G214" s="27"/>
      <c r="H214" s="27"/>
      <c r="I214" s="27">
        <v>146298.06</v>
      </c>
      <c r="J214" s="27"/>
      <c r="K214" s="27"/>
      <c r="L214" s="27">
        <v>146298.06</v>
      </c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8">
        <f t="shared" si="9"/>
        <v>292596.12</v>
      </c>
      <c r="AB214" s="37"/>
      <c r="AC214" s="45"/>
      <c r="AD214" s="57"/>
    </row>
    <row r="215" spans="1:30" ht="15.75" customHeight="1">
      <c r="A215" s="116" t="s">
        <v>206</v>
      </c>
      <c r="B215" s="27"/>
      <c r="C215" s="27"/>
      <c r="D215" s="27"/>
      <c r="E215" s="27"/>
      <c r="F215" s="27"/>
      <c r="G215" s="27"/>
      <c r="H215" s="27"/>
      <c r="I215" s="27">
        <v>20000</v>
      </c>
      <c r="J215" s="27"/>
      <c r="K215" s="27"/>
      <c r="L215" s="27">
        <v>20000</v>
      </c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8">
        <f t="shared" si="9"/>
        <v>40000</v>
      </c>
      <c r="AB215" s="37"/>
      <c r="AC215" s="45"/>
      <c r="AD215" s="57"/>
    </row>
    <row r="216" spans="1:30" ht="15.75" customHeight="1">
      <c r="A216" s="116" t="s">
        <v>207</v>
      </c>
      <c r="B216" s="27"/>
      <c r="C216" s="27"/>
      <c r="D216" s="27"/>
      <c r="E216" s="27"/>
      <c r="F216" s="27"/>
      <c r="G216" s="27"/>
      <c r="H216" s="27"/>
      <c r="I216" s="27">
        <v>20000</v>
      </c>
      <c r="J216" s="27"/>
      <c r="K216" s="27"/>
      <c r="L216" s="27">
        <v>20000</v>
      </c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8">
        <f t="shared" si="9"/>
        <v>40000</v>
      </c>
      <c r="AB216" s="37"/>
      <c r="AC216" s="45"/>
      <c r="AD216" s="57"/>
    </row>
    <row r="217" spans="1:30" ht="15.75" customHeight="1">
      <c r="A217" s="116" t="s">
        <v>189</v>
      </c>
      <c r="B217" s="27"/>
      <c r="C217" s="27"/>
      <c r="D217" s="27"/>
      <c r="E217" s="27"/>
      <c r="F217" s="27"/>
      <c r="G217" s="27"/>
      <c r="H217" s="27"/>
      <c r="I217" s="27">
        <v>95248.12</v>
      </c>
      <c r="J217" s="27"/>
      <c r="K217" s="27"/>
      <c r="L217" s="27">
        <v>95248.12</v>
      </c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8">
        <f t="shared" si="9"/>
        <v>190496.24</v>
      </c>
      <c r="AB217" s="37"/>
      <c r="AC217" s="45"/>
      <c r="AD217" s="57"/>
    </row>
    <row r="218" spans="1:30" ht="15.75" customHeight="1">
      <c r="A218" s="116" t="s">
        <v>208</v>
      </c>
      <c r="B218" s="27"/>
      <c r="C218" s="27"/>
      <c r="D218" s="27"/>
      <c r="E218" s="27"/>
      <c r="F218" s="27"/>
      <c r="G218" s="27"/>
      <c r="H218" s="27"/>
      <c r="I218" s="27">
        <v>20000</v>
      </c>
      <c r="J218" s="27"/>
      <c r="K218" s="27"/>
      <c r="L218" s="27">
        <v>20000</v>
      </c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8">
        <f t="shared" si="9"/>
        <v>40000</v>
      </c>
      <c r="AB218" s="37"/>
      <c r="AC218" s="45"/>
      <c r="AD218" s="57"/>
    </row>
    <row r="219" spans="1:30" ht="15.75" customHeight="1">
      <c r="A219" s="116" t="s">
        <v>190</v>
      </c>
      <c r="B219" s="27"/>
      <c r="C219" s="27"/>
      <c r="D219" s="27"/>
      <c r="E219" s="27"/>
      <c r="F219" s="27"/>
      <c r="G219" s="27"/>
      <c r="H219" s="27"/>
      <c r="I219" s="27">
        <v>39692.24</v>
      </c>
      <c r="J219" s="27"/>
      <c r="K219" s="27"/>
      <c r="L219" s="27">
        <v>39692.24</v>
      </c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8">
        <f t="shared" si="9"/>
        <v>79384.48</v>
      </c>
      <c r="AB219" s="37"/>
      <c r="AC219" s="45"/>
      <c r="AD219" s="57"/>
    </row>
    <row r="220" spans="1:30" ht="15.75" customHeight="1">
      <c r="A220" s="116" t="s">
        <v>209</v>
      </c>
      <c r="B220" s="27"/>
      <c r="C220" s="27"/>
      <c r="D220" s="27"/>
      <c r="E220" s="27"/>
      <c r="F220" s="27"/>
      <c r="G220" s="27"/>
      <c r="H220" s="27"/>
      <c r="I220" s="27">
        <v>20000</v>
      </c>
      <c r="J220" s="27"/>
      <c r="K220" s="27"/>
      <c r="L220" s="27">
        <v>20000</v>
      </c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8">
        <f t="shared" si="9"/>
        <v>40000</v>
      </c>
      <c r="AB220" s="37"/>
      <c r="AC220" s="45"/>
      <c r="AD220" s="57"/>
    </row>
    <row r="221" spans="1:30" ht="15.75" customHeight="1">
      <c r="A221" s="116" t="s">
        <v>191</v>
      </c>
      <c r="B221" s="27"/>
      <c r="C221" s="27"/>
      <c r="D221" s="27"/>
      <c r="E221" s="27"/>
      <c r="F221" s="27"/>
      <c r="G221" s="27"/>
      <c r="H221" s="27"/>
      <c r="I221" s="27">
        <v>42317.56</v>
      </c>
      <c r="J221" s="27"/>
      <c r="K221" s="27"/>
      <c r="L221" s="27">
        <v>42317.56</v>
      </c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8">
        <f t="shared" si="9"/>
        <v>84635.12</v>
      </c>
      <c r="AB221" s="37"/>
      <c r="AC221" s="45"/>
      <c r="AD221" s="57"/>
    </row>
    <row r="222" spans="1:30" ht="15.75" customHeight="1">
      <c r="A222" s="116" t="s">
        <v>210</v>
      </c>
      <c r="B222" s="27"/>
      <c r="C222" s="27"/>
      <c r="D222" s="27"/>
      <c r="E222" s="27"/>
      <c r="F222" s="27"/>
      <c r="G222" s="27"/>
      <c r="H222" s="27"/>
      <c r="I222" s="27">
        <v>20000</v>
      </c>
      <c r="J222" s="27"/>
      <c r="K222" s="27"/>
      <c r="L222" s="27">
        <v>20000</v>
      </c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8">
        <f t="shared" si="9"/>
        <v>40000</v>
      </c>
      <c r="AB222" s="37"/>
      <c r="AC222" s="45"/>
      <c r="AD222" s="57"/>
    </row>
    <row r="223" spans="1:30" ht="15.75" customHeight="1">
      <c r="A223" s="116" t="s">
        <v>211</v>
      </c>
      <c r="B223" s="27"/>
      <c r="C223" s="27"/>
      <c r="D223" s="27"/>
      <c r="E223" s="27"/>
      <c r="F223" s="27"/>
      <c r="G223" s="27"/>
      <c r="H223" s="27"/>
      <c r="I223" s="27">
        <v>20000</v>
      </c>
      <c r="J223" s="27"/>
      <c r="K223" s="27"/>
      <c r="L223" s="27">
        <v>20000</v>
      </c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8">
        <f t="shared" si="9"/>
        <v>40000</v>
      </c>
      <c r="AB223" s="37"/>
      <c r="AC223" s="45"/>
      <c r="AD223" s="57"/>
    </row>
    <row r="224" spans="1:30" ht="15.75" customHeight="1">
      <c r="A224" s="116" t="s">
        <v>192</v>
      </c>
      <c r="B224" s="27"/>
      <c r="C224" s="27"/>
      <c r="D224" s="27"/>
      <c r="E224" s="27"/>
      <c r="F224" s="27"/>
      <c r="G224" s="27"/>
      <c r="H224" s="27"/>
      <c r="I224" s="27">
        <v>52234.38</v>
      </c>
      <c r="J224" s="27"/>
      <c r="K224" s="27"/>
      <c r="L224" s="27">
        <v>52234.38</v>
      </c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8">
        <f t="shared" si="9"/>
        <v>104468.76</v>
      </c>
      <c r="AB224" s="37"/>
      <c r="AC224" s="45"/>
      <c r="AD224" s="57"/>
    </row>
    <row r="225" spans="1:30" ht="15.75" customHeight="1">
      <c r="A225" s="116" t="s">
        <v>212</v>
      </c>
      <c r="B225" s="27"/>
      <c r="C225" s="27"/>
      <c r="D225" s="27"/>
      <c r="E225" s="27"/>
      <c r="F225" s="27"/>
      <c r="G225" s="27"/>
      <c r="H225" s="27"/>
      <c r="I225" s="27">
        <v>20000</v>
      </c>
      <c r="J225" s="27"/>
      <c r="K225" s="27"/>
      <c r="L225" s="27">
        <v>20000</v>
      </c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8">
        <f t="shared" si="9"/>
        <v>40000</v>
      </c>
      <c r="AB225" s="37"/>
      <c r="AC225" s="45"/>
      <c r="AD225" s="57"/>
    </row>
    <row r="226" spans="1:30" ht="15.75" customHeight="1">
      <c r="A226" s="116" t="s">
        <v>193</v>
      </c>
      <c r="B226" s="27"/>
      <c r="C226" s="27"/>
      <c r="D226" s="27"/>
      <c r="E226" s="27"/>
      <c r="F226" s="27"/>
      <c r="G226" s="27"/>
      <c r="H226" s="27">
        <v>5948</v>
      </c>
      <c r="I226" s="27">
        <f>114761.25</f>
        <v>114761.25</v>
      </c>
      <c r="J226" s="27"/>
      <c r="K226" s="27"/>
      <c r="L226" s="27">
        <f>114761.25+200000</f>
        <v>314761.25</v>
      </c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8">
        <f t="shared" si="9"/>
        <v>435470.5</v>
      </c>
      <c r="AB226" s="37"/>
      <c r="AC226" s="45"/>
      <c r="AD226" s="57"/>
    </row>
    <row r="227" spans="1:30" ht="15.75" customHeight="1">
      <c r="A227" s="116" t="s">
        <v>213</v>
      </c>
      <c r="B227" s="27"/>
      <c r="C227" s="27"/>
      <c r="D227" s="27"/>
      <c r="E227" s="27"/>
      <c r="F227" s="27"/>
      <c r="G227" s="27"/>
      <c r="H227" s="27"/>
      <c r="I227" s="27">
        <v>20000</v>
      </c>
      <c r="J227" s="27"/>
      <c r="K227" s="27"/>
      <c r="L227" s="27">
        <v>20000</v>
      </c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8">
        <f t="shared" si="9"/>
        <v>40000</v>
      </c>
      <c r="AB227" s="37"/>
      <c r="AC227" s="45"/>
      <c r="AD227" s="57"/>
    </row>
    <row r="228" spans="1:30" ht="15.75" customHeight="1">
      <c r="A228" s="116" t="s">
        <v>214</v>
      </c>
      <c r="B228" s="27"/>
      <c r="C228" s="27"/>
      <c r="D228" s="27"/>
      <c r="E228" s="27"/>
      <c r="F228" s="27"/>
      <c r="G228" s="27"/>
      <c r="H228" s="27"/>
      <c r="I228" s="27">
        <v>20000</v>
      </c>
      <c r="J228" s="27"/>
      <c r="K228" s="27"/>
      <c r="L228" s="27">
        <v>20000</v>
      </c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8">
        <f t="shared" si="9"/>
        <v>40000</v>
      </c>
      <c r="AB228" s="37"/>
      <c r="AC228" s="45"/>
      <c r="AD228" s="57"/>
    </row>
    <row r="229" spans="1:30" ht="15.75" customHeight="1">
      <c r="A229" s="116" t="s">
        <v>215</v>
      </c>
      <c r="B229" s="27"/>
      <c r="C229" s="27"/>
      <c r="D229" s="27"/>
      <c r="E229" s="27"/>
      <c r="F229" s="27"/>
      <c r="G229" s="27"/>
      <c r="H229" s="27"/>
      <c r="I229" s="27">
        <v>20000</v>
      </c>
      <c r="J229" s="27"/>
      <c r="K229" s="27"/>
      <c r="L229" s="27">
        <v>20000</v>
      </c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8">
        <f t="shared" si="9"/>
        <v>40000</v>
      </c>
      <c r="AB229" s="37"/>
      <c r="AC229" s="45"/>
      <c r="AD229" s="57"/>
    </row>
    <row r="230" spans="1:30" ht="15.75" customHeight="1">
      <c r="A230" s="116" t="s">
        <v>194</v>
      </c>
      <c r="B230" s="27"/>
      <c r="C230" s="27"/>
      <c r="D230" s="27"/>
      <c r="E230" s="27"/>
      <c r="F230" s="27"/>
      <c r="G230" s="27"/>
      <c r="H230" s="27"/>
      <c r="I230" s="27">
        <v>63560.48</v>
      </c>
      <c r="J230" s="27"/>
      <c r="K230" s="27"/>
      <c r="L230" s="27">
        <v>63560.48</v>
      </c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8">
        <f t="shared" si="9"/>
        <v>127120.96</v>
      </c>
      <c r="AB230" s="37"/>
      <c r="AC230" s="45"/>
      <c r="AD230" s="57"/>
    </row>
    <row r="231" spans="1:30" ht="15.75" customHeight="1">
      <c r="A231" s="116" t="s">
        <v>216</v>
      </c>
      <c r="B231" s="27"/>
      <c r="C231" s="27"/>
      <c r="D231" s="27"/>
      <c r="E231" s="27"/>
      <c r="F231" s="27"/>
      <c r="G231" s="27"/>
      <c r="H231" s="27"/>
      <c r="I231" s="27">
        <v>20000</v>
      </c>
      <c r="J231" s="27"/>
      <c r="K231" s="27"/>
      <c r="L231" s="27">
        <v>20000</v>
      </c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8">
        <f t="shared" si="9"/>
        <v>40000</v>
      </c>
      <c r="AB231" s="37"/>
      <c r="AC231" s="45"/>
      <c r="AD231" s="57"/>
    </row>
    <row r="232" spans="1:30" ht="15.75" customHeight="1">
      <c r="A232" s="116" t="s">
        <v>195</v>
      </c>
      <c r="B232" s="27"/>
      <c r="C232" s="27"/>
      <c r="D232" s="27"/>
      <c r="E232" s="27"/>
      <c r="F232" s="27"/>
      <c r="G232" s="27"/>
      <c r="H232" s="27"/>
      <c r="I232" s="27">
        <v>23332.32</v>
      </c>
      <c r="J232" s="27"/>
      <c r="K232" s="27"/>
      <c r="L232" s="27">
        <v>23332.32</v>
      </c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8">
        <f t="shared" si="9"/>
        <v>46664.64</v>
      </c>
      <c r="AB232" s="37"/>
      <c r="AC232" s="45"/>
      <c r="AD232" s="57"/>
    </row>
    <row r="233" spans="1:30" ht="15.75" customHeight="1">
      <c r="A233" s="116" t="s">
        <v>217</v>
      </c>
      <c r="B233" s="27"/>
      <c r="C233" s="27"/>
      <c r="D233" s="27"/>
      <c r="E233" s="27"/>
      <c r="F233" s="27"/>
      <c r="G233" s="27"/>
      <c r="H233" s="27"/>
      <c r="I233" s="27">
        <v>20000</v>
      </c>
      <c r="J233" s="27"/>
      <c r="K233" s="27"/>
      <c r="L233" s="27">
        <v>20000</v>
      </c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8">
        <f t="shared" si="9"/>
        <v>40000</v>
      </c>
      <c r="AB233" s="37"/>
      <c r="AC233" s="45"/>
      <c r="AD233" s="57"/>
    </row>
    <row r="234" spans="1:30" s="118" customFormat="1" ht="15.75" customHeight="1">
      <c r="A234" s="116" t="s">
        <v>218</v>
      </c>
      <c r="B234" s="27"/>
      <c r="C234" s="27"/>
      <c r="D234" s="27"/>
      <c r="E234" s="27"/>
      <c r="F234" s="27"/>
      <c r="G234" s="27"/>
      <c r="H234" s="27"/>
      <c r="I234" s="27">
        <v>20000</v>
      </c>
      <c r="J234" s="27"/>
      <c r="K234" s="27"/>
      <c r="L234" s="27">
        <v>20000</v>
      </c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8">
        <f t="shared" si="9"/>
        <v>40000</v>
      </c>
      <c r="AB234" s="37"/>
      <c r="AC234" s="45"/>
      <c r="AD234" s="117"/>
    </row>
    <row r="235" spans="1:30" ht="15.75" customHeight="1">
      <c r="A235" s="116" t="s">
        <v>196</v>
      </c>
      <c r="B235" s="27"/>
      <c r="C235" s="27"/>
      <c r="D235" s="27"/>
      <c r="E235" s="27"/>
      <c r="F235" s="27"/>
      <c r="G235" s="27"/>
      <c r="H235" s="27"/>
      <c r="I235" s="27">
        <v>56113.44</v>
      </c>
      <c r="J235" s="27"/>
      <c r="K235" s="27"/>
      <c r="L235" s="27">
        <v>56113.44</v>
      </c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8">
        <f t="shared" si="9"/>
        <v>112226.88</v>
      </c>
      <c r="AB235" s="37"/>
      <c r="AC235" s="45"/>
      <c r="AD235" s="57"/>
    </row>
    <row r="236" spans="1:30" ht="15.75" customHeight="1">
      <c r="A236" s="116" t="s">
        <v>219</v>
      </c>
      <c r="B236" s="27"/>
      <c r="C236" s="27"/>
      <c r="D236" s="27"/>
      <c r="E236" s="27"/>
      <c r="F236" s="27"/>
      <c r="G236" s="27"/>
      <c r="H236" s="27"/>
      <c r="I236" s="27">
        <v>20000</v>
      </c>
      <c r="J236" s="27"/>
      <c r="K236" s="27"/>
      <c r="L236" s="27">
        <v>20000</v>
      </c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8">
        <f t="shared" si="9"/>
        <v>40000</v>
      </c>
      <c r="AB236" s="37"/>
      <c r="AC236" s="45"/>
      <c r="AD236" s="57"/>
    </row>
    <row r="237" spans="1:30" ht="15.75" customHeight="1">
      <c r="A237" s="116" t="s">
        <v>220</v>
      </c>
      <c r="B237" s="27"/>
      <c r="C237" s="27"/>
      <c r="D237" s="27"/>
      <c r="E237" s="27"/>
      <c r="F237" s="27"/>
      <c r="G237" s="27"/>
      <c r="H237" s="27"/>
      <c r="I237" s="27">
        <v>20000</v>
      </c>
      <c r="J237" s="27"/>
      <c r="K237" s="27"/>
      <c r="L237" s="27">
        <v>20000</v>
      </c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8">
        <f t="shared" si="9"/>
        <v>40000</v>
      </c>
      <c r="AB237" s="37"/>
      <c r="AC237" s="45"/>
      <c r="AD237" s="57"/>
    </row>
    <row r="238" spans="1:30" ht="15.75" customHeight="1">
      <c r="A238" s="116" t="s">
        <v>197</v>
      </c>
      <c r="B238" s="27"/>
      <c r="C238" s="27"/>
      <c r="D238" s="27"/>
      <c r="E238" s="27"/>
      <c r="F238" s="27"/>
      <c r="G238" s="27"/>
      <c r="H238" s="27">
        <v>3744.5</v>
      </c>
      <c r="I238" s="27">
        <v>129085.03</v>
      </c>
      <c r="J238" s="27"/>
      <c r="K238" s="27"/>
      <c r="L238" s="27">
        <v>129085.03</v>
      </c>
      <c r="M238" s="27"/>
      <c r="N238" s="27"/>
      <c r="O238" s="27"/>
      <c r="P238" s="27"/>
      <c r="Q238" s="27">
        <v>49954.17</v>
      </c>
      <c r="R238" s="27"/>
      <c r="S238" s="27">
        <v>49744</v>
      </c>
      <c r="T238" s="27"/>
      <c r="U238" s="27"/>
      <c r="V238" s="27"/>
      <c r="W238" s="27"/>
      <c r="X238" s="27"/>
      <c r="Y238" s="27"/>
      <c r="Z238" s="27"/>
      <c r="AA238" s="28">
        <f t="shared" si="9"/>
        <v>361612.73</v>
      </c>
      <c r="AB238" s="37"/>
      <c r="AC238" s="45"/>
      <c r="AD238" s="57"/>
    </row>
    <row r="239" spans="1:30" ht="15.75" customHeight="1">
      <c r="A239" s="116" t="s">
        <v>198</v>
      </c>
      <c r="B239" s="27"/>
      <c r="C239" s="27"/>
      <c r="D239" s="27"/>
      <c r="E239" s="27"/>
      <c r="F239" s="27"/>
      <c r="G239" s="27"/>
      <c r="H239" s="27"/>
      <c r="I239" s="27">
        <v>27692.13</v>
      </c>
      <c r="J239" s="27"/>
      <c r="K239" s="27"/>
      <c r="L239" s="27">
        <v>27692.13</v>
      </c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8">
        <f t="shared" si="9"/>
        <v>55384.26</v>
      </c>
      <c r="AB239" s="37"/>
      <c r="AC239" s="45"/>
      <c r="AD239" s="57"/>
    </row>
    <row r="240" spans="1:30" ht="15.75" customHeight="1">
      <c r="A240" s="116" t="s">
        <v>140</v>
      </c>
      <c r="B240" s="27"/>
      <c r="C240" s="27"/>
      <c r="D240" s="27"/>
      <c r="E240" s="27"/>
      <c r="F240" s="27"/>
      <c r="G240" s="27"/>
      <c r="H240" s="27"/>
      <c r="I240" s="27">
        <v>142588.68</v>
      </c>
      <c r="J240" s="27"/>
      <c r="K240" s="27"/>
      <c r="L240" s="27">
        <v>142588.68</v>
      </c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>
        <v>1535597</v>
      </c>
      <c r="X240" s="27"/>
      <c r="Y240" s="27"/>
      <c r="Z240" s="27"/>
      <c r="AA240" s="28">
        <f t="shared" si="9"/>
        <v>1820774.3599999999</v>
      </c>
      <c r="AB240" s="37"/>
      <c r="AC240" s="45"/>
      <c r="AD240" s="57"/>
    </row>
    <row r="241" spans="1:30" ht="15.75" customHeight="1">
      <c r="A241" s="116" t="s">
        <v>221</v>
      </c>
      <c r="B241" s="27"/>
      <c r="C241" s="27"/>
      <c r="D241" s="27"/>
      <c r="E241" s="27"/>
      <c r="F241" s="27"/>
      <c r="G241" s="27"/>
      <c r="H241" s="27"/>
      <c r="I241" s="27">
        <v>20000</v>
      </c>
      <c r="J241" s="27"/>
      <c r="K241" s="27"/>
      <c r="L241" s="27">
        <v>20000</v>
      </c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8">
        <f t="shared" si="9"/>
        <v>40000</v>
      </c>
      <c r="AB241" s="37"/>
      <c r="AC241" s="45"/>
      <c r="AD241" s="57"/>
    </row>
    <row r="242" spans="1:30" ht="15.75" customHeight="1">
      <c r="A242" s="116" t="s">
        <v>180</v>
      </c>
      <c r="B242" s="27"/>
      <c r="C242" s="27"/>
      <c r="D242" s="27"/>
      <c r="E242" s="27"/>
      <c r="F242" s="27"/>
      <c r="G242" s="27">
        <v>50000</v>
      </c>
      <c r="H242" s="27"/>
      <c r="I242" s="27">
        <v>26122.6</v>
      </c>
      <c r="J242" s="27"/>
      <c r="K242" s="27"/>
      <c r="L242" s="27">
        <v>26122.6</v>
      </c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8">
        <f t="shared" si="9"/>
        <v>102245.20000000001</v>
      </c>
      <c r="AB242" s="37"/>
      <c r="AC242" s="45"/>
      <c r="AD242" s="57"/>
    </row>
    <row r="243" spans="1:30" ht="15.75" customHeight="1">
      <c r="A243" s="116" t="s">
        <v>199</v>
      </c>
      <c r="B243" s="27"/>
      <c r="C243" s="27"/>
      <c r="D243" s="27"/>
      <c r="E243" s="27"/>
      <c r="F243" s="27"/>
      <c r="G243" s="27"/>
      <c r="H243" s="27"/>
      <c r="I243" s="27">
        <v>152100.16</v>
      </c>
      <c r="J243" s="27"/>
      <c r="K243" s="27"/>
      <c r="L243" s="27">
        <v>152100.16</v>
      </c>
      <c r="M243" s="27"/>
      <c r="N243" s="27"/>
      <c r="O243" s="27"/>
      <c r="P243" s="27"/>
      <c r="Q243" s="27">
        <v>49883.41</v>
      </c>
      <c r="R243" s="27"/>
      <c r="S243" s="27"/>
      <c r="T243" s="27"/>
      <c r="U243" s="27"/>
      <c r="V243" s="27"/>
      <c r="W243" s="27"/>
      <c r="X243" s="27"/>
      <c r="Y243" s="27"/>
      <c r="Z243" s="27"/>
      <c r="AA243" s="28">
        <f t="shared" si="9"/>
        <v>354083.73</v>
      </c>
      <c r="AB243" s="37"/>
      <c r="AC243" s="45"/>
      <c r="AD243" s="57"/>
    </row>
    <row r="244" spans="1:30" ht="15.75" customHeight="1">
      <c r="A244" s="116" t="s">
        <v>200</v>
      </c>
      <c r="B244" s="27"/>
      <c r="C244" s="27"/>
      <c r="D244" s="27"/>
      <c r="E244" s="27"/>
      <c r="F244" s="27"/>
      <c r="G244" s="27"/>
      <c r="H244" s="27">
        <v>163.24</v>
      </c>
      <c r="I244" s="27">
        <v>43444.04</v>
      </c>
      <c r="J244" s="27"/>
      <c r="K244" s="27"/>
      <c r="L244" s="27">
        <v>43444.04</v>
      </c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8">
        <f t="shared" si="9"/>
        <v>87051.32</v>
      </c>
      <c r="AB244" s="37"/>
      <c r="AC244" s="45"/>
      <c r="AD244" s="57"/>
    </row>
    <row r="245" spans="1:30" ht="15.75" customHeight="1">
      <c r="A245" s="116" t="s">
        <v>222</v>
      </c>
      <c r="B245" s="27"/>
      <c r="C245" s="27"/>
      <c r="D245" s="27"/>
      <c r="E245" s="27"/>
      <c r="F245" s="27"/>
      <c r="G245" s="27"/>
      <c r="H245" s="27"/>
      <c r="I245" s="27">
        <v>20000</v>
      </c>
      <c r="J245" s="27"/>
      <c r="K245" s="27"/>
      <c r="L245" s="27">
        <v>20000</v>
      </c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8">
        <f t="shared" si="9"/>
        <v>40000</v>
      </c>
      <c r="AB245" s="37"/>
      <c r="AC245" s="45"/>
      <c r="AD245" s="57"/>
    </row>
    <row r="246" spans="1:30" s="15" customFormat="1" ht="15.75" customHeight="1" thickBot="1">
      <c r="A246" s="116" t="s">
        <v>235</v>
      </c>
      <c r="B246" s="31"/>
      <c r="C246" s="31"/>
      <c r="D246" s="31"/>
      <c r="E246" s="31"/>
      <c r="F246" s="31"/>
      <c r="G246" s="31"/>
      <c r="H246" s="31"/>
      <c r="I246" s="31">
        <v>20000</v>
      </c>
      <c r="J246" s="31"/>
      <c r="K246" s="31"/>
      <c r="L246" s="31">
        <v>20000</v>
      </c>
      <c r="M246" s="31"/>
      <c r="N246" s="31"/>
      <c r="O246" s="31"/>
      <c r="P246" s="31"/>
      <c r="Q246" s="31"/>
      <c r="R246" s="31"/>
      <c r="S246" s="31"/>
      <c r="T246" s="31"/>
      <c r="U246" s="31"/>
      <c r="V246" s="82">
        <f>SUM(V207:V245)</f>
        <v>0</v>
      </c>
      <c r="W246" s="82"/>
      <c r="X246" s="31"/>
      <c r="Y246" s="31"/>
      <c r="Z246" s="31"/>
      <c r="AA246" s="32">
        <f t="shared" si="9"/>
        <v>40000</v>
      </c>
      <c r="AB246" s="37"/>
      <c r="AC246" s="45"/>
      <c r="AD246" s="70"/>
    </row>
    <row r="247" spans="1:30" s="107" customFormat="1" ht="15.75" customHeight="1" thickTop="1">
      <c r="A247" s="130" t="s">
        <v>223</v>
      </c>
      <c r="B247" s="23">
        <f>SUM(B208:B246)</f>
        <v>0</v>
      </c>
      <c r="C247" s="23">
        <f aca="true" t="shared" si="10" ref="C247:Z247">SUM(C208:C246)</f>
        <v>0</v>
      </c>
      <c r="D247" s="23">
        <f t="shared" si="10"/>
        <v>0</v>
      </c>
      <c r="E247" s="23">
        <f t="shared" si="10"/>
        <v>0</v>
      </c>
      <c r="F247" s="23">
        <f>SUM(F208:F246)</f>
        <v>0</v>
      </c>
      <c r="G247" s="23">
        <f t="shared" si="10"/>
        <v>50000</v>
      </c>
      <c r="H247" s="23">
        <f t="shared" si="10"/>
        <v>9855.74</v>
      </c>
      <c r="I247" s="23">
        <f t="shared" si="10"/>
        <v>1659999.9899999998</v>
      </c>
      <c r="J247" s="23">
        <f t="shared" si="10"/>
        <v>0</v>
      </c>
      <c r="K247" s="23">
        <f t="shared" si="10"/>
        <v>0</v>
      </c>
      <c r="L247" s="23">
        <f aca="true" t="shared" si="11" ref="L247:Q247">SUM(L208:L246)</f>
        <v>1859999.99</v>
      </c>
      <c r="M247" s="23">
        <f t="shared" si="11"/>
        <v>0</v>
      </c>
      <c r="N247" s="23">
        <f t="shared" si="11"/>
        <v>0</v>
      </c>
      <c r="O247" s="23">
        <f t="shared" si="11"/>
        <v>0</v>
      </c>
      <c r="P247" s="23">
        <f t="shared" si="11"/>
        <v>0</v>
      </c>
      <c r="Q247" s="23">
        <f t="shared" si="11"/>
        <v>99837.58</v>
      </c>
      <c r="R247" s="23">
        <f t="shared" si="10"/>
        <v>0</v>
      </c>
      <c r="S247" s="23">
        <f t="shared" si="10"/>
        <v>49744</v>
      </c>
      <c r="T247" s="23">
        <f t="shared" si="10"/>
        <v>0</v>
      </c>
      <c r="U247" s="23">
        <f t="shared" si="10"/>
        <v>0</v>
      </c>
      <c r="V247" s="23">
        <f t="shared" si="10"/>
        <v>0</v>
      </c>
      <c r="W247" s="23">
        <f t="shared" si="10"/>
        <v>1535597</v>
      </c>
      <c r="X247" s="23">
        <f t="shared" si="10"/>
        <v>0</v>
      </c>
      <c r="Y247" s="23">
        <f t="shared" si="10"/>
        <v>0</v>
      </c>
      <c r="Z247" s="23">
        <f t="shared" si="10"/>
        <v>0</v>
      </c>
      <c r="AA247" s="23">
        <f>SUM(AA208:AA246)</f>
        <v>5265034.299999999</v>
      </c>
      <c r="AB247" s="130"/>
      <c r="AC247" s="137"/>
      <c r="AD247" s="106"/>
    </row>
    <row r="248" spans="1:30" ht="15.75" customHeight="1">
      <c r="A248" s="13"/>
      <c r="B248" s="24"/>
      <c r="C248" s="24"/>
      <c r="D248" s="24"/>
      <c r="E248" s="24"/>
      <c r="F248" s="24"/>
      <c r="G248" s="24"/>
      <c r="H248" s="24"/>
      <c r="I248" s="35"/>
      <c r="J248" s="24"/>
      <c r="K248" s="24"/>
      <c r="R248" s="24"/>
      <c r="S248" s="24"/>
      <c r="T248" s="24"/>
      <c r="U248" s="24"/>
      <c r="V248" s="24"/>
      <c r="W248" s="24"/>
      <c r="X248" s="24"/>
      <c r="Y248" s="24"/>
      <c r="Z248" s="24"/>
      <c r="AA248" s="96"/>
      <c r="AB248" s="24"/>
      <c r="AC248" s="56"/>
      <c r="AD248" s="57"/>
    </row>
    <row r="249" spans="1:30" s="7" customFormat="1" ht="15.75" customHeight="1">
      <c r="A249" s="64" t="s">
        <v>233</v>
      </c>
      <c r="B249" s="40"/>
      <c r="C249" s="40"/>
      <c r="D249" s="40"/>
      <c r="E249" s="40"/>
      <c r="F249" s="40"/>
      <c r="G249" s="40"/>
      <c r="H249" s="40"/>
      <c r="I249" s="65"/>
      <c r="J249" s="40"/>
      <c r="K249" s="40"/>
      <c r="L249" s="1"/>
      <c r="M249" s="1"/>
      <c r="N249" s="1"/>
      <c r="O249" s="1"/>
      <c r="P249" s="1"/>
      <c r="Q249" s="1"/>
      <c r="R249" s="40"/>
      <c r="S249" s="40"/>
      <c r="T249" s="40"/>
      <c r="U249" s="40"/>
      <c r="V249" s="40"/>
      <c r="W249" s="40"/>
      <c r="X249" s="40"/>
      <c r="Y249" s="40"/>
      <c r="Z249" s="40"/>
      <c r="AA249" s="98"/>
      <c r="AB249" s="40"/>
      <c r="AC249" s="66"/>
      <c r="AD249" s="62"/>
    </row>
    <row r="250" spans="1:30" ht="15.75" customHeight="1">
      <c r="A250" s="63" t="s">
        <v>224</v>
      </c>
      <c r="B250" s="27"/>
      <c r="C250" s="27"/>
      <c r="D250" s="27"/>
      <c r="E250" s="27"/>
      <c r="F250" s="27"/>
      <c r="G250" s="27"/>
      <c r="H250" s="27"/>
      <c r="I250" s="27">
        <v>26888.65</v>
      </c>
      <c r="J250" s="27"/>
      <c r="K250" s="27"/>
      <c r="L250" s="121">
        <v>22468</v>
      </c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110">
        <f aca="true" t="shared" si="12" ref="AA250:AA259">SUM(B250:Z250)</f>
        <v>49356.65</v>
      </c>
      <c r="AB250" s="37"/>
      <c r="AC250" s="45"/>
      <c r="AD250" s="57"/>
    </row>
    <row r="251" spans="1:30" ht="15.75" customHeight="1">
      <c r="A251" s="61" t="s">
        <v>225</v>
      </c>
      <c r="B251" s="27"/>
      <c r="C251" s="27"/>
      <c r="D251" s="27"/>
      <c r="E251" s="27"/>
      <c r="F251" s="27"/>
      <c r="G251" s="27"/>
      <c r="H251" s="27"/>
      <c r="I251" s="27">
        <v>19838.22</v>
      </c>
      <c r="J251" s="27"/>
      <c r="K251" s="27"/>
      <c r="L251" s="121">
        <v>17263</v>
      </c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110">
        <f t="shared" si="12"/>
        <v>37101.22</v>
      </c>
      <c r="AB251" s="37"/>
      <c r="AC251" s="45"/>
      <c r="AD251" s="57"/>
    </row>
    <row r="252" spans="1:30" ht="15.75" customHeight="1">
      <c r="A252" s="61" t="s">
        <v>226</v>
      </c>
      <c r="B252" s="27"/>
      <c r="C252" s="27"/>
      <c r="D252" s="27"/>
      <c r="E252" s="27"/>
      <c r="F252" s="27"/>
      <c r="G252" s="27"/>
      <c r="H252" s="27"/>
      <c r="I252" s="27">
        <v>710851.92</v>
      </c>
      <c r="J252" s="27"/>
      <c r="K252" s="27"/>
      <c r="L252" s="121">
        <v>527383</v>
      </c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110">
        <f t="shared" si="12"/>
        <v>1238234.92</v>
      </c>
      <c r="AB252" s="37"/>
      <c r="AC252" s="45"/>
      <c r="AD252" s="57"/>
    </row>
    <row r="253" spans="1:30" ht="15.75" customHeight="1">
      <c r="A253" s="61" t="s">
        <v>227</v>
      </c>
      <c r="B253" s="27"/>
      <c r="C253" s="27"/>
      <c r="D253" s="27"/>
      <c r="E253" s="27"/>
      <c r="F253" s="27"/>
      <c r="G253" s="27"/>
      <c r="H253" s="27">
        <v>293342.14</v>
      </c>
      <c r="I253" s="27">
        <v>845241.68</v>
      </c>
      <c r="J253" s="27"/>
      <c r="K253" s="27"/>
      <c r="L253" s="121">
        <v>626592</v>
      </c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110">
        <f t="shared" si="12"/>
        <v>1765175.82</v>
      </c>
      <c r="AB253" s="37"/>
      <c r="AC253" s="45"/>
      <c r="AD253" s="57"/>
    </row>
    <row r="254" spans="1:30" ht="15.75" customHeight="1">
      <c r="A254" s="61" t="s">
        <v>228</v>
      </c>
      <c r="B254" s="27"/>
      <c r="C254" s="27"/>
      <c r="D254" s="27"/>
      <c r="E254" s="27"/>
      <c r="F254" s="27"/>
      <c r="G254" s="27"/>
      <c r="H254" s="27"/>
      <c r="I254" s="27">
        <v>39172.94</v>
      </c>
      <c r="J254" s="27"/>
      <c r="K254" s="27"/>
      <c r="L254" s="121">
        <v>31536</v>
      </c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110">
        <f t="shared" si="12"/>
        <v>70708.94</v>
      </c>
      <c r="AB254" s="37"/>
      <c r="AC254" s="45"/>
      <c r="AD254" s="57"/>
    </row>
    <row r="255" spans="1:30" ht="15.75" customHeight="1">
      <c r="A255" s="61" t="s">
        <v>229</v>
      </c>
      <c r="B255" s="27"/>
      <c r="C255" s="27"/>
      <c r="D255" s="27"/>
      <c r="E255" s="27"/>
      <c r="F255" s="27"/>
      <c r="G255" s="27"/>
      <c r="H255" s="27"/>
      <c r="I255" s="27">
        <v>180703.05</v>
      </c>
      <c r="J255" s="27"/>
      <c r="K255" s="27"/>
      <c r="L255" s="121">
        <v>136015</v>
      </c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110">
        <f t="shared" si="12"/>
        <v>316718.05</v>
      </c>
      <c r="AB255" s="37"/>
      <c r="AC255" s="45"/>
      <c r="AD255" s="57"/>
    </row>
    <row r="256" spans="1:30" ht="15.75" customHeight="1">
      <c r="A256" s="61" t="s">
        <v>230</v>
      </c>
      <c r="B256" s="27"/>
      <c r="C256" s="27"/>
      <c r="D256" s="27"/>
      <c r="E256" s="27"/>
      <c r="F256" s="27"/>
      <c r="G256" s="27"/>
      <c r="H256" s="27">
        <v>11960.47</v>
      </c>
      <c r="I256" s="27">
        <v>127788.88</v>
      </c>
      <c r="J256" s="27"/>
      <c r="K256" s="27"/>
      <c r="L256" s="121">
        <v>96954</v>
      </c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110">
        <f t="shared" si="12"/>
        <v>236703.35</v>
      </c>
      <c r="AB256" s="37"/>
      <c r="AC256" s="45"/>
      <c r="AD256" s="57"/>
    </row>
    <row r="257" spans="1:30" ht="15.75" customHeight="1">
      <c r="A257" s="61" t="s">
        <v>231</v>
      </c>
      <c r="B257" s="27"/>
      <c r="C257" s="27"/>
      <c r="D257" s="27"/>
      <c r="E257" s="27"/>
      <c r="F257" s="27"/>
      <c r="G257" s="27"/>
      <c r="H257" s="27"/>
      <c r="I257" s="27">
        <v>37913.93</v>
      </c>
      <c r="J257" s="27"/>
      <c r="K257" s="27"/>
      <c r="L257" s="121">
        <v>30607</v>
      </c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110">
        <f t="shared" si="12"/>
        <v>68520.93</v>
      </c>
      <c r="AB257" s="37"/>
      <c r="AC257" s="45"/>
      <c r="AD257" s="57"/>
    </row>
    <row r="258" spans="1:30" s="15" customFormat="1" ht="15.75" customHeight="1" thickBot="1">
      <c r="A258" s="116" t="s">
        <v>232</v>
      </c>
      <c r="B258" s="31"/>
      <c r="C258" s="31"/>
      <c r="D258" s="31"/>
      <c r="E258" s="31"/>
      <c r="F258" s="31"/>
      <c r="G258" s="31"/>
      <c r="H258" s="31"/>
      <c r="I258" s="31">
        <v>11600.73</v>
      </c>
      <c r="J258" s="31"/>
      <c r="K258" s="31"/>
      <c r="L258" s="123">
        <v>11182</v>
      </c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111">
        <f t="shared" si="12"/>
        <v>22782.73</v>
      </c>
      <c r="AB258" s="42"/>
      <c r="AC258" s="69"/>
      <c r="AD258" s="70"/>
    </row>
    <row r="259" spans="1:30" s="4" customFormat="1" ht="15.75" customHeight="1" thickTop="1">
      <c r="A259" s="34" t="s">
        <v>234</v>
      </c>
      <c r="B259" s="23">
        <f>SUM(B250:B258)</f>
        <v>0</v>
      </c>
      <c r="C259" s="23">
        <f aca="true" t="shared" si="13" ref="C259:Z259">SUM(C250:C258)</f>
        <v>0</v>
      </c>
      <c r="D259" s="23">
        <f t="shared" si="13"/>
        <v>0</v>
      </c>
      <c r="E259" s="23">
        <f t="shared" si="13"/>
        <v>0</v>
      </c>
      <c r="F259" s="23">
        <f>SUM(F250:F258)</f>
        <v>0</v>
      </c>
      <c r="G259" s="23">
        <f t="shared" si="13"/>
        <v>0</v>
      </c>
      <c r="H259" s="23">
        <f t="shared" si="13"/>
        <v>305302.61</v>
      </c>
      <c r="I259" s="23">
        <f t="shared" si="13"/>
        <v>2000000.0000000002</v>
      </c>
      <c r="J259" s="23">
        <f t="shared" si="13"/>
        <v>0</v>
      </c>
      <c r="K259" s="23">
        <f t="shared" si="13"/>
        <v>0</v>
      </c>
      <c r="L259" s="23">
        <f aca="true" t="shared" si="14" ref="L259:Q259">SUM(L250:L258)</f>
        <v>1500000</v>
      </c>
      <c r="M259" s="23">
        <f t="shared" si="14"/>
        <v>0</v>
      </c>
      <c r="N259" s="23">
        <f t="shared" si="14"/>
        <v>0</v>
      </c>
      <c r="O259" s="23">
        <f t="shared" si="14"/>
        <v>0</v>
      </c>
      <c r="P259" s="23">
        <f t="shared" si="14"/>
        <v>0</v>
      </c>
      <c r="Q259" s="23">
        <f t="shared" si="14"/>
        <v>0</v>
      </c>
      <c r="R259" s="23">
        <f t="shared" si="13"/>
        <v>0</v>
      </c>
      <c r="S259" s="23">
        <f t="shared" si="13"/>
        <v>0</v>
      </c>
      <c r="T259" s="23">
        <f t="shared" si="13"/>
        <v>0</v>
      </c>
      <c r="U259" s="23">
        <f t="shared" si="13"/>
        <v>0</v>
      </c>
      <c r="V259" s="23">
        <f t="shared" si="13"/>
        <v>0</v>
      </c>
      <c r="W259" s="23">
        <f t="shared" si="13"/>
        <v>0</v>
      </c>
      <c r="X259" s="23">
        <f t="shared" si="13"/>
        <v>0</v>
      </c>
      <c r="Y259" s="23">
        <f t="shared" si="13"/>
        <v>0</v>
      </c>
      <c r="Z259" s="23">
        <f t="shared" si="13"/>
        <v>0</v>
      </c>
      <c r="AA259" s="23">
        <f t="shared" si="12"/>
        <v>3805302.6100000003</v>
      </c>
      <c r="AB259" s="34"/>
      <c r="AC259" s="104"/>
      <c r="AD259" s="105"/>
    </row>
    <row r="260" spans="1:30" ht="15.75" customHeight="1">
      <c r="A260" s="13"/>
      <c r="B260" s="24"/>
      <c r="C260" s="24"/>
      <c r="D260" s="24"/>
      <c r="E260" s="24"/>
      <c r="F260" s="24"/>
      <c r="G260" s="24"/>
      <c r="H260" s="24"/>
      <c r="I260" s="35"/>
      <c r="J260" s="24"/>
      <c r="K260" s="24"/>
      <c r="R260" s="24"/>
      <c r="S260" s="24"/>
      <c r="T260" s="24"/>
      <c r="U260" s="24"/>
      <c r="V260" s="24"/>
      <c r="W260" s="24"/>
      <c r="X260" s="24"/>
      <c r="Y260" s="24"/>
      <c r="Z260" s="24"/>
      <c r="AA260" s="96"/>
      <c r="AB260" s="24"/>
      <c r="AC260" s="56"/>
      <c r="AD260" s="57"/>
    </row>
    <row r="261" spans="1:29" s="49" customFormat="1" ht="15.75">
      <c r="A261" s="51" t="s">
        <v>148</v>
      </c>
      <c r="I261" s="53"/>
      <c r="L261" s="1"/>
      <c r="M261" s="1"/>
      <c r="N261" s="1"/>
      <c r="O261" s="1"/>
      <c r="P261" s="1"/>
      <c r="Q261" s="1"/>
      <c r="AA261" s="97"/>
      <c r="AC261" s="51"/>
    </row>
    <row r="262" spans="1:29" ht="15.75">
      <c r="A262" s="30" t="s">
        <v>141</v>
      </c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>
        <f>72000+212500</f>
        <v>284500</v>
      </c>
      <c r="Z262" s="27"/>
      <c r="AA262" s="110">
        <f>SUM(B262:Z262)</f>
        <v>284500</v>
      </c>
      <c r="AB262" s="37"/>
      <c r="AC262" s="29"/>
    </row>
    <row r="263" spans="1:29" ht="15.75">
      <c r="A263" s="26" t="s">
        <v>171</v>
      </c>
      <c r="B263" s="27"/>
      <c r="C263" s="27"/>
      <c r="D263" s="27"/>
      <c r="E263" s="27"/>
      <c r="F263" s="27"/>
      <c r="G263" s="27">
        <v>869000</v>
      </c>
      <c r="H263" s="27"/>
      <c r="I263" s="27">
        <v>500000</v>
      </c>
      <c r="J263" s="27"/>
      <c r="K263" s="27"/>
      <c r="L263" s="27"/>
      <c r="M263" s="27"/>
      <c r="N263" s="27"/>
      <c r="O263" s="27"/>
      <c r="P263" s="27"/>
      <c r="Q263" s="27">
        <v>5889</v>
      </c>
      <c r="R263" s="27"/>
      <c r="S263" s="27"/>
      <c r="T263" s="27"/>
      <c r="U263" s="27"/>
      <c r="V263" s="27"/>
      <c r="W263" s="27"/>
      <c r="X263" s="27"/>
      <c r="Y263" s="27"/>
      <c r="Z263" s="27"/>
      <c r="AA263" s="110">
        <f aca="true" t="shared" si="15" ref="AA263:AA270">SUM(B263:Z263)</f>
        <v>1374889</v>
      </c>
      <c r="AB263" s="37"/>
      <c r="AC263" s="29"/>
    </row>
    <row r="264" spans="1:29" ht="15.75">
      <c r="A264" s="26" t="s">
        <v>255</v>
      </c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>
        <v>11319000</v>
      </c>
      <c r="U264" s="27"/>
      <c r="V264" s="27"/>
      <c r="W264" s="27"/>
      <c r="X264" s="27"/>
      <c r="Y264" s="27"/>
      <c r="Z264" s="27"/>
      <c r="AA264" s="110">
        <f t="shared" si="15"/>
        <v>11319000</v>
      </c>
      <c r="AB264" s="37"/>
      <c r="AC264" s="29"/>
    </row>
    <row r="265" spans="1:29" ht="15.75">
      <c r="A265" s="26" t="s">
        <v>251</v>
      </c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>
        <v>795280</v>
      </c>
      <c r="AA265" s="110">
        <f t="shared" si="15"/>
        <v>795280</v>
      </c>
      <c r="AB265" s="37"/>
      <c r="AC265" s="29"/>
    </row>
    <row r="266" spans="1:29" ht="15.75">
      <c r="A266" s="138" t="s">
        <v>142</v>
      </c>
      <c r="B266" s="27"/>
      <c r="C266" s="27"/>
      <c r="D266" s="27"/>
      <c r="E266" s="27"/>
      <c r="F266" s="27"/>
      <c r="G266" s="27"/>
      <c r="H266" s="27">
        <v>36319.26</v>
      </c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110">
        <f t="shared" si="15"/>
        <v>36319.26</v>
      </c>
      <c r="AB266" s="37"/>
      <c r="AC266" s="29"/>
    </row>
    <row r="267" spans="1:29" ht="15.75">
      <c r="A267" s="139" t="s">
        <v>185</v>
      </c>
      <c r="B267" s="27"/>
      <c r="C267" s="27"/>
      <c r="D267" s="27"/>
      <c r="E267" s="27"/>
      <c r="F267" s="27"/>
      <c r="G267" s="27"/>
      <c r="H267" s="27"/>
      <c r="I267" s="27">
        <v>32031</v>
      </c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>
        <f>8383540+1221792</f>
        <v>9605332</v>
      </c>
      <c r="Z267" s="27"/>
      <c r="AA267" s="110">
        <f t="shared" si="15"/>
        <v>9637363</v>
      </c>
      <c r="AB267" s="37"/>
      <c r="AC267" s="29"/>
    </row>
    <row r="268" spans="1:29" ht="15.75">
      <c r="A268" s="134" t="s">
        <v>162</v>
      </c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>
        <f>80000+270400</f>
        <v>350400</v>
      </c>
      <c r="Z268" s="27"/>
      <c r="AA268" s="110">
        <f t="shared" si="15"/>
        <v>350400</v>
      </c>
      <c r="AB268" s="37"/>
      <c r="AC268" s="29"/>
    </row>
    <row r="269" spans="1:29" ht="15.75">
      <c r="A269" s="134" t="s">
        <v>163</v>
      </c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118"/>
      <c r="M269" s="118"/>
      <c r="N269" s="118"/>
      <c r="O269" s="118"/>
      <c r="P269" s="118"/>
      <c r="Q269" s="118"/>
      <c r="R269" s="27"/>
      <c r="S269" s="27"/>
      <c r="T269" s="27"/>
      <c r="U269" s="27"/>
      <c r="V269" s="27"/>
      <c r="W269" s="27"/>
      <c r="X269" s="27"/>
      <c r="Y269" s="27">
        <v>674600</v>
      </c>
      <c r="Z269" s="27"/>
      <c r="AA269" s="110">
        <f t="shared" si="15"/>
        <v>674600</v>
      </c>
      <c r="AB269" s="37"/>
      <c r="AC269" s="29"/>
    </row>
    <row r="270" spans="1:29" ht="16.5" thickBot="1">
      <c r="A270" s="134" t="s">
        <v>164</v>
      </c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126"/>
      <c r="M270" s="126"/>
      <c r="N270" s="126"/>
      <c r="O270" s="126"/>
      <c r="P270" s="126"/>
      <c r="Q270" s="126"/>
      <c r="R270" s="31"/>
      <c r="S270" s="31"/>
      <c r="T270" s="31"/>
      <c r="U270" s="31"/>
      <c r="V270" s="31"/>
      <c r="W270" s="31"/>
      <c r="X270" s="31"/>
      <c r="Y270" s="31">
        <f>120000+628290</f>
        <v>748290</v>
      </c>
      <c r="Z270" s="31"/>
      <c r="AA270" s="111">
        <f t="shared" si="15"/>
        <v>748290</v>
      </c>
      <c r="AB270" s="42"/>
      <c r="AC270" s="33"/>
    </row>
    <row r="271" spans="1:29" s="4" customFormat="1" ht="16.5" thickTop="1">
      <c r="A271" s="130" t="s">
        <v>4</v>
      </c>
      <c r="B271" s="23">
        <f>SUM(B262:B270)</f>
        <v>0</v>
      </c>
      <c r="C271" s="23">
        <f aca="true" t="shared" si="16" ref="C271:Z271">SUM(C262:C270)</f>
        <v>0</v>
      </c>
      <c r="D271" s="23">
        <f t="shared" si="16"/>
        <v>0</v>
      </c>
      <c r="E271" s="23">
        <f t="shared" si="16"/>
        <v>0</v>
      </c>
      <c r="F271" s="23">
        <f>SUM(F262:F270)</f>
        <v>0</v>
      </c>
      <c r="G271" s="23">
        <f t="shared" si="16"/>
        <v>869000</v>
      </c>
      <c r="H271" s="23">
        <f t="shared" si="16"/>
        <v>36319.26</v>
      </c>
      <c r="I271" s="23">
        <f t="shared" si="16"/>
        <v>532031</v>
      </c>
      <c r="J271" s="23">
        <f t="shared" si="16"/>
        <v>0</v>
      </c>
      <c r="K271" s="23">
        <f t="shared" si="16"/>
        <v>0</v>
      </c>
      <c r="L271" s="23">
        <f aca="true" t="shared" si="17" ref="L271:Q271">SUM(L262:L270)</f>
        <v>0</v>
      </c>
      <c r="M271" s="23">
        <f t="shared" si="17"/>
        <v>0</v>
      </c>
      <c r="N271" s="23">
        <f t="shared" si="17"/>
        <v>0</v>
      </c>
      <c r="O271" s="23">
        <f t="shared" si="17"/>
        <v>0</v>
      </c>
      <c r="P271" s="23">
        <f t="shared" si="17"/>
        <v>0</v>
      </c>
      <c r="Q271" s="23">
        <f t="shared" si="17"/>
        <v>5889</v>
      </c>
      <c r="R271" s="23">
        <f t="shared" si="16"/>
        <v>0</v>
      </c>
      <c r="S271" s="23">
        <f t="shared" si="16"/>
        <v>0</v>
      </c>
      <c r="T271" s="23">
        <f t="shared" si="16"/>
        <v>11319000</v>
      </c>
      <c r="U271" s="23">
        <f t="shared" si="16"/>
        <v>0</v>
      </c>
      <c r="V271" s="23">
        <f t="shared" si="16"/>
        <v>0</v>
      </c>
      <c r="W271" s="23">
        <f t="shared" si="16"/>
        <v>0</v>
      </c>
      <c r="X271" s="23">
        <f t="shared" si="16"/>
        <v>0</v>
      </c>
      <c r="Y271" s="23">
        <f t="shared" si="16"/>
        <v>11663122</v>
      </c>
      <c r="Z271" s="23">
        <f t="shared" si="16"/>
        <v>795280</v>
      </c>
      <c r="AA271" s="44">
        <f>SUM(B271:Z271)</f>
        <v>25220641.259999998</v>
      </c>
      <c r="AB271" s="34"/>
      <c r="AC271" s="34"/>
    </row>
    <row r="272" spans="1:29" ht="15.75">
      <c r="A272" s="24"/>
      <c r="B272" s="24"/>
      <c r="C272" s="24"/>
      <c r="D272" s="24"/>
      <c r="E272" s="24"/>
      <c r="F272" s="24"/>
      <c r="G272" s="24"/>
      <c r="H272" s="24"/>
      <c r="I272" s="35"/>
      <c r="J272" s="24"/>
      <c r="K272" s="24"/>
      <c r="R272" s="24"/>
      <c r="S272" s="24"/>
      <c r="T272" s="24"/>
      <c r="U272" s="24"/>
      <c r="V272" s="24"/>
      <c r="W272" s="24"/>
      <c r="X272" s="24"/>
      <c r="Y272" s="24"/>
      <c r="Z272" s="24"/>
      <c r="AA272" s="99"/>
      <c r="AB272" s="24"/>
      <c r="AC272" s="11"/>
    </row>
    <row r="273" spans="1:29" s="49" customFormat="1" ht="15.75">
      <c r="A273" s="50" t="s">
        <v>149</v>
      </c>
      <c r="I273" s="53"/>
      <c r="L273" s="1"/>
      <c r="M273" s="1"/>
      <c r="N273" s="1"/>
      <c r="O273" s="1"/>
      <c r="P273" s="1"/>
      <c r="Q273" s="1"/>
      <c r="AA273" s="97"/>
      <c r="AC273" s="51"/>
    </row>
    <row r="274" spans="1:29" ht="15.75">
      <c r="A274" s="29" t="s">
        <v>167</v>
      </c>
      <c r="B274" s="37"/>
      <c r="C274" s="37"/>
      <c r="D274" s="37"/>
      <c r="E274" s="37"/>
      <c r="F274" s="37"/>
      <c r="G274" s="37"/>
      <c r="H274" s="37"/>
      <c r="I274" s="27"/>
      <c r="J274" s="37"/>
      <c r="K274" s="37"/>
      <c r="L274" s="118"/>
      <c r="M274" s="118"/>
      <c r="N274" s="118"/>
      <c r="O274" s="118"/>
      <c r="P274" s="118"/>
      <c r="Q274" s="118"/>
      <c r="R274" s="37"/>
      <c r="S274" s="37"/>
      <c r="T274" s="37"/>
      <c r="U274" s="37"/>
      <c r="V274" s="37"/>
      <c r="W274" s="37"/>
      <c r="X274" s="37"/>
      <c r="Y274" s="27"/>
      <c r="Z274" s="37"/>
      <c r="AA274" s="93"/>
      <c r="AB274" s="37"/>
      <c r="AC274" s="29"/>
    </row>
    <row r="275" spans="1:29" ht="15.75">
      <c r="A275" s="139" t="s">
        <v>185</v>
      </c>
      <c r="B275" s="37"/>
      <c r="C275" s="37"/>
      <c r="D275" s="37"/>
      <c r="E275" s="37"/>
      <c r="F275" s="37"/>
      <c r="G275" s="37"/>
      <c r="H275" s="37"/>
      <c r="I275" s="27"/>
      <c r="J275" s="37"/>
      <c r="K275" s="37"/>
      <c r="L275" s="118"/>
      <c r="M275" s="118"/>
      <c r="N275" s="118"/>
      <c r="O275" s="118"/>
      <c r="P275" s="118"/>
      <c r="Q275" s="118"/>
      <c r="R275" s="37"/>
      <c r="S275" s="37"/>
      <c r="T275" s="37"/>
      <c r="U275" s="37"/>
      <c r="V275" s="37"/>
      <c r="W275" s="37"/>
      <c r="X275" s="37"/>
      <c r="Y275" s="27">
        <v>43700</v>
      </c>
      <c r="Z275" s="37"/>
      <c r="AA275" s="28">
        <f aca="true" t="shared" si="18" ref="AA275:AA287">SUM(B275:Z275)</f>
        <v>43700</v>
      </c>
      <c r="AB275" s="37"/>
      <c r="AC275" s="29"/>
    </row>
    <row r="276" spans="1:29" ht="15.75">
      <c r="A276" s="134" t="s">
        <v>168</v>
      </c>
      <c r="B276" s="37"/>
      <c r="C276" s="37"/>
      <c r="D276" s="37"/>
      <c r="E276" s="37"/>
      <c r="F276" s="37"/>
      <c r="G276" s="37"/>
      <c r="H276" s="37"/>
      <c r="I276" s="27"/>
      <c r="J276" s="37"/>
      <c r="K276" s="37"/>
      <c r="L276" s="118"/>
      <c r="M276" s="118"/>
      <c r="N276" s="118"/>
      <c r="O276" s="118"/>
      <c r="P276" s="118"/>
      <c r="Q276" s="118"/>
      <c r="R276" s="37"/>
      <c r="S276" s="37"/>
      <c r="T276" s="37"/>
      <c r="U276" s="37"/>
      <c r="V276" s="37"/>
      <c r="W276" s="37"/>
      <c r="X276" s="37"/>
      <c r="Y276" s="27">
        <v>149500</v>
      </c>
      <c r="Z276" s="37"/>
      <c r="AA276" s="28">
        <f t="shared" si="18"/>
        <v>149500</v>
      </c>
      <c r="AB276" s="37"/>
      <c r="AC276" s="29"/>
    </row>
    <row r="277" spans="1:29" ht="15.75">
      <c r="A277" s="26" t="s">
        <v>240</v>
      </c>
      <c r="B277" s="37"/>
      <c r="C277" s="37"/>
      <c r="D277" s="37"/>
      <c r="E277" s="37"/>
      <c r="F277" s="37"/>
      <c r="G277" s="37"/>
      <c r="H277" s="37"/>
      <c r="I277" s="27"/>
      <c r="J277" s="37"/>
      <c r="K277" s="37"/>
      <c r="L277" s="118"/>
      <c r="M277" s="118"/>
      <c r="N277" s="118"/>
      <c r="O277" s="118"/>
      <c r="P277" s="118"/>
      <c r="Q277" s="118"/>
      <c r="R277" s="37"/>
      <c r="S277" s="37"/>
      <c r="T277" s="37"/>
      <c r="U277" s="37"/>
      <c r="V277" s="37"/>
      <c r="W277" s="37"/>
      <c r="X277" s="37"/>
      <c r="Y277" s="27">
        <v>225035</v>
      </c>
      <c r="Z277" s="37"/>
      <c r="AA277" s="28">
        <f t="shared" si="18"/>
        <v>225035</v>
      </c>
      <c r="AB277" s="37"/>
      <c r="AC277" s="29"/>
    </row>
    <row r="278" spans="1:29" ht="15.75">
      <c r="A278" s="26" t="s">
        <v>170</v>
      </c>
      <c r="B278" s="37"/>
      <c r="C278" s="37"/>
      <c r="D278" s="37"/>
      <c r="E278" s="37"/>
      <c r="F278" s="37"/>
      <c r="G278" s="37"/>
      <c r="H278" s="37"/>
      <c r="I278" s="27"/>
      <c r="J278" s="37"/>
      <c r="K278" s="37"/>
      <c r="L278" s="118"/>
      <c r="M278" s="118"/>
      <c r="N278" s="118"/>
      <c r="O278" s="118"/>
      <c r="P278" s="118"/>
      <c r="Q278" s="118"/>
      <c r="R278" s="37"/>
      <c r="S278" s="37"/>
      <c r="T278" s="37"/>
      <c r="U278" s="37"/>
      <c r="V278" s="37"/>
      <c r="W278" s="37"/>
      <c r="X278" s="37"/>
      <c r="Y278" s="27">
        <v>133000</v>
      </c>
      <c r="Z278" s="37"/>
      <c r="AA278" s="28">
        <f t="shared" si="18"/>
        <v>133000</v>
      </c>
      <c r="AB278" s="37"/>
      <c r="AC278" s="29"/>
    </row>
    <row r="279" spans="1:29" ht="15.75">
      <c r="A279" s="30" t="s">
        <v>143</v>
      </c>
      <c r="B279" s="37"/>
      <c r="C279" s="37"/>
      <c r="D279" s="37"/>
      <c r="E279" s="37"/>
      <c r="F279" s="37"/>
      <c r="G279" s="37"/>
      <c r="H279" s="37"/>
      <c r="I279" s="27"/>
      <c r="J279" s="37"/>
      <c r="K279" s="37"/>
      <c r="L279" s="118"/>
      <c r="M279" s="118"/>
      <c r="N279" s="118"/>
      <c r="O279" s="118"/>
      <c r="P279" s="118"/>
      <c r="Q279" s="118"/>
      <c r="R279" s="37"/>
      <c r="S279" s="37"/>
      <c r="T279" s="37"/>
      <c r="U279" s="37"/>
      <c r="V279" s="37"/>
      <c r="W279" s="37"/>
      <c r="X279" s="37"/>
      <c r="Y279" s="27">
        <f>324369+16119</f>
        <v>340488</v>
      </c>
      <c r="Z279" s="37"/>
      <c r="AA279" s="28">
        <f t="shared" si="18"/>
        <v>340488</v>
      </c>
      <c r="AB279" s="37"/>
      <c r="AC279" s="29"/>
    </row>
    <row r="280" spans="1:29" ht="15.75">
      <c r="A280" s="30" t="s">
        <v>144</v>
      </c>
      <c r="B280" s="37"/>
      <c r="C280" s="37"/>
      <c r="D280" s="37"/>
      <c r="E280" s="37"/>
      <c r="F280" s="37"/>
      <c r="G280" s="37"/>
      <c r="H280" s="37"/>
      <c r="I280" s="27"/>
      <c r="J280" s="37"/>
      <c r="K280" s="37"/>
      <c r="L280" s="118"/>
      <c r="M280" s="118"/>
      <c r="N280" s="118"/>
      <c r="O280" s="118"/>
      <c r="P280" s="118"/>
      <c r="Q280" s="118"/>
      <c r="R280" s="37"/>
      <c r="S280" s="37"/>
      <c r="T280" s="37"/>
      <c r="U280" s="37"/>
      <c r="V280" s="37"/>
      <c r="W280" s="37"/>
      <c r="X280" s="37"/>
      <c r="Y280" s="27">
        <v>54000</v>
      </c>
      <c r="Z280" s="37"/>
      <c r="AA280" s="28">
        <f t="shared" si="18"/>
        <v>54000</v>
      </c>
      <c r="AB280" s="37"/>
      <c r="AC280" s="29"/>
    </row>
    <row r="281" spans="1:29" ht="15.75">
      <c r="A281" s="26" t="s">
        <v>241</v>
      </c>
      <c r="B281" s="37"/>
      <c r="C281" s="37"/>
      <c r="D281" s="37"/>
      <c r="E281" s="37"/>
      <c r="F281" s="37"/>
      <c r="G281" s="37"/>
      <c r="H281" s="37"/>
      <c r="I281" s="27"/>
      <c r="J281" s="37"/>
      <c r="K281" s="37"/>
      <c r="L281" s="118"/>
      <c r="M281" s="118"/>
      <c r="N281" s="118"/>
      <c r="O281" s="118"/>
      <c r="P281" s="118"/>
      <c r="Q281" s="118"/>
      <c r="R281" s="37"/>
      <c r="S281" s="37"/>
      <c r="T281" s="37"/>
      <c r="U281" s="37"/>
      <c r="V281" s="37"/>
      <c r="W281" s="37"/>
      <c r="X281" s="37"/>
      <c r="Y281" s="27">
        <v>196350</v>
      </c>
      <c r="Z281" s="37"/>
      <c r="AA281" s="28">
        <f t="shared" si="18"/>
        <v>196350</v>
      </c>
      <c r="AB281" s="37"/>
      <c r="AC281" s="29"/>
    </row>
    <row r="282" spans="1:29" ht="15.75">
      <c r="A282" s="26" t="s">
        <v>169</v>
      </c>
      <c r="B282" s="37"/>
      <c r="C282" s="37"/>
      <c r="D282" s="37"/>
      <c r="E282" s="37"/>
      <c r="F282" s="37"/>
      <c r="G282" s="37"/>
      <c r="H282" s="37"/>
      <c r="I282" s="27"/>
      <c r="J282" s="37"/>
      <c r="K282" s="37"/>
      <c r="L282" s="118"/>
      <c r="M282" s="118"/>
      <c r="N282" s="118"/>
      <c r="O282" s="118"/>
      <c r="P282" s="118"/>
      <c r="Q282" s="118"/>
      <c r="R282" s="37"/>
      <c r="S282" s="37"/>
      <c r="T282" s="37"/>
      <c r="U282" s="37"/>
      <c r="V282" s="37"/>
      <c r="W282" s="37"/>
      <c r="X282" s="37"/>
      <c r="Y282" s="27">
        <v>92038</v>
      </c>
      <c r="Z282" s="37"/>
      <c r="AA282" s="28">
        <f t="shared" si="18"/>
        <v>92038</v>
      </c>
      <c r="AB282" s="37"/>
      <c r="AC282" s="29"/>
    </row>
    <row r="283" spans="1:29" ht="15.75">
      <c r="A283" s="30" t="s">
        <v>145</v>
      </c>
      <c r="B283" s="37"/>
      <c r="C283" s="37"/>
      <c r="D283" s="37"/>
      <c r="E283" s="37"/>
      <c r="F283" s="37"/>
      <c r="G283" s="37"/>
      <c r="H283" s="37"/>
      <c r="I283" s="27"/>
      <c r="J283" s="37"/>
      <c r="K283" s="37"/>
      <c r="L283" s="118"/>
      <c r="M283" s="118"/>
      <c r="N283" s="118"/>
      <c r="O283" s="118"/>
      <c r="P283" s="118"/>
      <c r="Q283" s="118"/>
      <c r="R283" s="37"/>
      <c r="S283" s="37"/>
      <c r="T283" s="37"/>
      <c r="U283" s="37"/>
      <c r="V283" s="37"/>
      <c r="W283" s="37"/>
      <c r="X283" s="37"/>
      <c r="Y283" s="27">
        <v>414320</v>
      </c>
      <c r="Z283" s="37"/>
      <c r="AA283" s="28">
        <f t="shared" si="18"/>
        <v>414320</v>
      </c>
      <c r="AB283" s="37"/>
      <c r="AC283" s="29"/>
    </row>
    <row r="284" spans="1:29" ht="15.75">
      <c r="A284" s="26" t="s">
        <v>166</v>
      </c>
      <c r="B284" s="37"/>
      <c r="C284" s="37"/>
      <c r="D284" s="37"/>
      <c r="E284" s="37"/>
      <c r="F284" s="37"/>
      <c r="G284" s="37"/>
      <c r="H284" s="37"/>
      <c r="I284" s="27"/>
      <c r="J284" s="37"/>
      <c r="K284" s="37"/>
      <c r="L284" s="118"/>
      <c r="M284" s="118"/>
      <c r="N284" s="118"/>
      <c r="O284" s="118"/>
      <c r="P284" s="118"/>
      <c r="Q284" s="118"/>
      <c r="R284" s="37"/>
      <c r="S284" s="37"/>
      <c r="T284" s="37"/>
      <c r="U284" s="37"/>
      <c r="V284" s="37"/>
      <c r="W284" s="37"/>
      <c r="X284" s="37"/>
      <c r="Y284" s="27">
        <v>159823</v>
      </c>
      <c r="Z284" s="37"/>
      <c r="AA284" s="28">
        <f t="shared" si="18"/>
        <v>159823</v>
      </c>
      <c r="AB284" s="37"/>
      <c r="AC284" s="29"/>
    </row>
    <row r="285" spans="1:29" ht="15.75">
      <c r="A285" s="26" t="s">
        <v>139</v>
      </c>
      <c r="B285" s="37"/>
      <c r="C285" s="37"/>
      <c r="D285" s="37"/>
      <c r="E285" s="37"/>
      <c r="F285" s="37"/>
      <c r="G285" s="37"/>
      <c r="H285" s="37"/>
      <c r="I285" s="27"/>
      <c r="J285" s="37"/>
      <c r="K285" s="37"/>
      <c r="L285" s="118"/>
      <c r="M285" s="118"/>
      <c r="N285" s="118"/>
      <c r="O285" s="118"/>
      <c r="P285" s="118"/>
      <c r="Q285" s="118"/>
      <c r="R285" s="37"/>
      <c r="S285" s="37"/>
      <c r="T285" s="27"/>
      <c r="U285" s="37"/>
      <c r="V285" s="37"/>
      <c r="W285" s="27">
        <v>309579</v>
      </c>
      <c r="X285" s="37"/>
      <c r="Y285" s="27"/>
      <c r="Z285" s="37"/>
      <c r="AA285" s="28">
        <f t="shared" si="18"/>
        <v>309579</v>
      </c>
      <c r="AB285" s="37"/>
      <c r="AC285" s="29"/>
    </row>
    <row r="286" spans="1:29" ht="16.5" thickBot="1">
      <c r="A286" s="30" t="s">
        <v>146</v>
      </c>
      <c r="B286" s="42"/>
      <c r="C286" s="42"/>
      <c r="D286" s="42"/>
      <c r="E286" s="42"/>
      <c r="F286" s="42"/>
      <c r="G286" s="42"/>
      <c r="H286" s="42"/>
      <c r="I286" s="31"/>
      <c r="J286" s="42"/>
      <c r="K286" s="42"/>
      <c r="L286" s="126"/>
      <c r="M286" s="126"/>
      <c r="N286" s="126"/>
      <c r="O286" s="126"/>
      <c r="P286" s="126"/>
      <c r="Q286" s="126"/>
      <c r="R286" s="42"/>
      <c r="S286" s="42"/>
      <c r="T286" s="42"/>
      <c r="U286" s="42"/>
      <c r="V286" s="42"/>
      <c r="W286" s="42"/>
      <c r="X286" s="42"/>
      <c r="Y286" s="47">
        <v>335000</v>
      </c>
      <c r="Z286" s="42"/>
      <c r="AA286" s="32">
        <f t="shared" si="18"/>
        <v>335000</v>
      </c>
      <c r="AB286" s="42"/>
      <c r="AC286" s="33"/>
    </row>
    <row r="287" spans="1:29" ht="16.5" thickTop="1">
      <c r="A287" s="130" t="s">
        <v>5</v>
      </c>
      <c r="B287" s="23">
        <f>SUM(B274:B286)</f>
        <v>0</v>
      </c>
      <c r="C287" s="23">
        <f aca="true" t="shared" si="19" ref="C287:Z287">SUM(C274:C286)</f>
        <v>0</v>
      </c>
      <c r="D287" s="23">
        <f t="shared" si="19"/>
        <v>0</v>
      </c>
      <c r="E287" s="23">
        <f t="shared" si="19"/>
        <v>0</v>
      </c>
      <c r="F287" s="23">
        <f>SUM(F274:F286)</f>
        <v>0</v>
      </c>
      <c r="G287" s="23">
        <f t="shared" si="19"/>
        <v>0</v>
      </c>
      <c r="H287" s="23">
        <f t="shared" si="19"/>
        <v>0</v>
      </c>
      <c r="I287" s="23">
        <f t="shared" si="19"/>
        <v>0</v>
      </c>
      <c r="J287" s="23">
        <f t="shared" si="19"/>
        <v>0</v>
      </c>
      <c r="K287" s="23">
        <f t="shared" si="19"/>
        <v>0</v>
      </c>
      <c r="L287" s="23">
        <f aca="true" t="shared" si="20" ref="L287:Q287">SUM(L274:L286)</f>
        <v>0</v>
      </c>
      <c r="M287" s="23">
        <f t="shared" si="20"/>
        <v>0</v>
      </c>
      <c r="N287" s="23">
        <f t="shared" si="20"/>
        <v>0</v>
      </c>
      <c r="O287" s="23">
        <f t="shared" si="20"/>
        <v>0</v>
      </c>
      <c r="P287" s="23">
        <f t="shared" si="20"/>
        <v>0</v>
      </c>
      <c r="Q287" s="23">
        <f t="shared" si="20"/>
        <v>0</v>
      </c>
      <c r="R287" s="23">
        <f t="shared" si="19"/>
        <v>0</v>
      </c>
      <c r="S287" s="23">
        <f t="shared" si="19"/>
        <v>0</v>
      </c>
      <c r="T287" s="23">
        <f t="shared" si="19"/>
        <v>0</v>
      </c>
      <c r="U287" s="23">
        <f t="shared" si="19"/>
        <v>0</v>
      </c>
      <c r="V287" s="23">
        <f t="shared" si="19"/>
        <v>0</v>
      </c>
      <c r="W287" s="23">
        <f t="shared" si="19"/>
        <v>309579</v>
      </c>
      <c r="X287" s="23">
        <f t="shared" si="19"/>
        <v>0</v>
      </c>
      <c r="Y287" s="23">
        <f t="shared" si="19"/>
        <v>2143254</v>
      </c>
      <c r="Z287" s="23">
        <f t="shared" si="19"/>
        <v>0</v>
      </c>
      <c r="AA287" s="23">
        <f t="shared" si="18"/>
        <v>2452833</v>
      </c>
      <c r="AB287" s="46"/>
      <c r="AC287" s="25"/>
    </row>
    <row r="288" spans="1:29" ht="15.75">
      <c r="A288" s="24"/>
      <c r="B288" s="24"/>
      <c r="C288" s="24"/>
      <c r="D288" s="24"/>
      <c r="E288" s="24"/>
      <c r="F288" s="24"/>
      <c r="G288" s="24"/>
      <c r="H288" s="24"/>
      <c r="I288" s="35"/>
      <c r="J288" s="24"/>
      <c r="K288" s="24"/>
      <c r="R288" s="24"/>
      <c r="S288" s="24"/>
      <c r="T288" s="24"/>
      <c r="U288" s="24"/>
      <c r="V288" s="24"/>
      <c r="W288" s="24"/>
      <c r="X288" s="24"/>
      <c r="Y288" s="24"/>
      <c r="Z288" s="24"/>
      <c r="AA288" s="96"/>
      <c r="AB288" s="24"/>
      <c r="AC288" s="81"/>
    </row>
    <row r="289" spans="1:29" s="49" customFormat="1" ht="12.75">
      <c r="A289" s="60" t="s">
        <v>236</v>
      </c>
      <c r="B289" s="58"/>
      <c r="C289" s="58"/>
      <c r="D289" s="58"/>
      <c r="E289" s="58"/>
      <c r="F289" s="58"/>
      <c r="G289" s="58"/>
      <c r="H289" s="58"/>
      <c r="I289" s="59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100"/>
      <c r="AB289" s="58"/>
      <c r="AC289" s="60"/>
    </row>
    <row r="290" spans="1:29" ht="15.75">
      <c r="A290" s="37" t="s">
        <v>247</v>
      </c>
      <c r="B290" s="27"/>
      <c r="C290" s="27"/>
      <c r="D290" s="27"/>
      <c r="E290" s="27"/>
      <c r="F290" s="27"/>
      <c r="G290" s="27"/>
      <c r="H290" s="27"/>
      <c r="I290" s="27"/>
      <c r="J290" s="27"/>
      <c r="K290" s="27">
        <f>23000+25000+6900</f>
        <v>54900</v>
      </c>
      <c r="L290" s="27"/>
      <c r="M290" s="27"/>
      <c r="N290" s="27">
        <v>7200</v>
      </c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128">
        <f>SUM(B290:Z290)</f>
        <v>62100</v>
      </c>
      <c r="AB290" s="37"/>
      <c r="AC290" s="29"/>
    </row>
    <row r="291" spans="1:29" ht="15.75">
      <c r="A291" s="37" t="s">
        <v>238</v>
      </c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>
        <v>910368</v>
      </c>
      <c r="Q291" s="27"/>
      <c r="R291" s="27"/>
      <c r="S291" s="27"/>
      <c r="T291" s="27"/>
      <c r="U291" s="27">
        <v>1929606</v>
      </c>
      <c r="V291" s="27"/>
      <c r="W291" s="27"/>
      <c r="X291" s="27"/>
      <c r="Y291" s="27">
        <v>6600000</v>
      </c>
      <c r="Z291" s="27"/>
      <c r="AA291" s="128">
        <f>SUM(B291:Z291)</f>
        <v>9439974</v>
      </c>
      <c r="AB291" s="37"/>
      <c r="AC291" s="29"/>
    </row>
    <row r="292" spans="1:29" ht="16.5" thickBot="1">
      <c r="A292" s="37" t="s">
        <v>237</v>
      </c>
      <c r="B292" s="31"/>
      <c r="C292" s="31"/>
      <c r="D292" s="31"/>
      <c r="E292" s="31"/>
      <c r="F292" s="31"/>
      <c r="G292" s="31"/>
      <c r="H292" s="31"/>
      <c r="I292" s="31"/>
      <c r="J292" s="31"/>
      <c r="K292" s="31">
        <v>2000</v>
      </c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82">
        <f>SUM(B292:Z292)</f>
        <v>2000</v>
      </c>
      <c r="AB292" s="42"/>
      <c r="AC292" s="33"/>
    </row>
    <row r="293" spans="1:29" s="3" customFormat="1" ht="16.5" thickTop="1">
      <c r="A293" s="130" t="s">
        <v>239</v>
      </c>
      <c r="B293" s="23">
        <f>SUM(B290:B292)</f>
        <v>0</v>
      </c>
      <c r="C293" s="23">
        <f aca="true" t="shared" si="21" ref="C293:Z293">SUM(C290:C292)</f>
        <v>0</v>
      </c>
      <c r="D293" s="23">
        <f t="shared" si="21"/>
        <v>0</v>
      </c>
      <c r="E293" s="23">
        <f t="shared" si="21"/>
        <v>0</v>
      </c>
      <c r="F293" s="23">
        <f>SUM(F290:F292)</f>
        <v>0</v>
      </c>
      <c r="G293" s="23">
        <f t="shared" si="21"/>
        <v>0</v>
      </c>
      <c r="H293" s="23">
        <f t="shared" si="21"/>
        <v>0</v>
      </c>
      <c r="I293" s="23">
        <f t="shared" si="21"/>
        <v>0</v>
      </c>
      <c r="J293" s="23">
        <f t="shared" si="21"/>
        <v>0</v>
      </c>
      <c r="K293" s="23">
        <f t="shared" si="21"/>
        <v>56900</v>
      </c>
      <c r="L293" s="23">
        <f aca="true" t="shared" si="22" ref="L293:Q293">SUM(L290:L292)</f>
        <v>0</v>
      </c>
      <c r="M293" s="23">
        <f t="shared" si="22"/>
        <v>0</v>
      </c>
      <c r="N293" s="23">
        <f t="shared" si="22"/>
        <v>7200</v>
      </c>
      <c r="O293" s="23">
        <f t="shared" si="22"/>
        <v>0</v>
      </c>
      <c r="P293" s="23">
        <f t="shared" si="22"/>
        <v>910368</v>
      </c>
      <c r="Q293" s="23">
        <f t="shared" si="22"/>
        <v>0</v>
      </c>
      <c r="R293" s="23">
        <f t="shared" si="21"/>
        <v>0</v>
      </c>
      <c r="S293" s="23">
        <f t="shared" si="21"/>
        <v>0</v>
      </c>
      <c r="T293" s="23">
        <f t="shared" si="21"/>
        <v>0</v>
      </c>
      <c r="U293" s="23">
        <f t="shared" si="21"/>
        <v>1929606</v>
      </c>
      <c r="V293" s="23">
        <f t="shared" si="21"/>
        <v>0</v>
      </c>
      <c r="W293" s="23">
        <f t="shared" si="21"/>
        <v>0</v>
      </c>
      <c r="X293" s="23">
        <f t="shared" si="21"/>
        <v>0</v>
      </c>
      <c r="Y293" s="23">
        <f t="shared" si="21"/>
        <v>6600000</v>
      </c>
      <c r="Z293" s="23">
        <f t="shared" si="21"/>
        <v>0</v>
      </c>
      <c r="AA293" s="23">
        <f>SUM(AA290:AA292)</f>
        <v>9504074</v>
      </c>
      <c r="AB293" s="23">
        <f>SUM(AB290:AB292)</f>
        <v>0</v>
      </c>
      <c r="AC293" s="23"/>
    </row>
    <row r="294" spans="1:29" ht="16.5" thickBot="1">
      <c r="A294" s="78"/>
      <c r="B294" s="78"/>
      <c r="C294" s="78"/>
      <c r="D294" s="78"/>
      <c r="E294" s="78"/>
      <c r="F294" s="78"/>
      <c r="G294" s="78"/>
      <c r="H294" s="78"/>
      <c r="I294" s="79"/>
      <c r="J294" s="78"/>
      <c r="K294" s="78"/>
      <c r="L294" s="127"/>
      <c r="M294" s="127"/>
      <c r="N294" s="127"/>
      <c r="O294" s="127"/>
      <c r="P294" s="127"/>
      <c r="Q294" s="127"/>
      <c r="R294" s="78"/>
      <c r="S294" s="78"/>
      <c r="T294" s="78"/>
      <c r="U294" s="78"/>
      <c r="V294" s="78"/>
      <c r="W294" s="78"/>
      <c r="X294" s="78"/>
      <c r="Y294" s="78"/>
      <c r="Z294" s="78"/>
      <c r="AA294" s="101"/>
      <c r="AB294" s="78"/>
      <c r="AC294" s="80"/>
    </row>
    <row r="295" spans="1:29" s="4" customFormat="1" ht="17.25" thickBot="1" thickTop="1">
      <c r="A295" s="48" t="s">
        <v>150</v>
      </c>
      <c r="B295" s="119">
        <f>B287+B271+B205+B65+B247+B259+B293</f>
        <v>11758999.279999996</v>
      </c>
      <c r="C295" s="119">
        <f aca="true" t="shared" si="23" ref="C295:Z295">C287+C271+C205+C65+C247+C259+C293</f>
        <v>33147992.41</v>
      </c>
      <c r="D295" s="119">
        <f t="shared" si="23"/>
        <v>1680000</v>
      </c>
      <c r="E295" s="119">
        <f t="shared" si="23"/>
        <v>62500000</v>
      </c>
      <c r="F295" s="119">
        <f>F287+F271+F205+F65+F247+F259+F293</f>
        <v>19275487.17</v>
      </c>
      <c r="G295" s="119">
        <f t="shared" si="23"/>
        <v>12716000</v>
      </c>
      <c r="H295" s="119">
        <f t="shared" si="23"/>
        <v>33683000.12</v>
      </c>
      <c r="I295" s="119">
        <f t="shared" si="23"/>
        <v>37613999.97999998</v>
      </c>
      <c r="J295" s="119">
        <f t="shared" si="23"/>
        <v>11160999.760000004</v>
      </c>
      <c r="K295" s="119">
        <f t="shared" si="23"/>
        <v>1673000</v>
      </c>
      <c r="L295" s="119">
        <f t="shared" si="23"/>
        <v>23921665.99</v>
      </c>
      <c r="M295" s="119">
        <f t="shared" si="23"/>
        <v>8698787</v>
      </c>
      <c r="N295" s="119">
        <f t="shared" si="23"/>
        <v>303685</v>
      </c>
      <c r="O295" s="119">
        <f t="shared" si="23"/>
        <v>3894890</v>
      </c>
      <c r="P295" s="119">
        <f t="shared" si="23"/>
        <v>1365552</v>
      </c>
      <c r="Q295" s="119">
        <f t="shared" si="23"/>
        <v>2088647.7200000002</v>
      </c>
      <c r="R295" s="119">
        <f t="shared" si="23"/>
        <v>487092</v>
      </c>
      <c r="S295" s="119">
        <f t="shared" si="23"/>
        <v>583780</v>
      </c>
      <c r="T295" s="119">
        <f t="shared" si="23"/>
        <v>11890053</v>
      </c>
      <c r="U295" s="119">
        <f t="shared" si="23"/>
        <v>8009606</v>
      </c>
      <c r="V295" s="119">
        <f t="shared" si="23"/>
        <v>19974892</v>
      </c>
      <c r="W295" s="119">
        <f t="shared" si="23"/>
        <v>1845176</v>
      </c>
      <c r="X295" s="119">
        <f t="shared" si="23"/>
        <v>348000</v>
      </c>
      <c r="Y295" s="119">
        <f t="shared" si="23"/>
        <v>21776735</v>
      </c>
      <c r="Z295" s="119">
        <f t="shared" si="23"/>
        <v>179092405</v>
      </c>
      <c r="AA295" s="120">
        <f>AA287+AA271+AA205+AA65+AA247+AA259+AA293</f>
        <v>509490445.43</v>
      </c>
      <c r="AB295" s="8"/>
      <c r="AC295" s="103"/>
    </row>
    <row r="296" spans="1:29" s="8" customFormat="1" ht="16.5" thickTop="1">
      <c r="A296" s="8" t="s">
        <v>154</v>
      </c>
      <c r="I296" s="54"/>
      <c r="L296" s="1"/>
      <c r="M296" s="1"/>
      <c r="N296" s="1"/>
      <c r="O296" s="1"/>
      <c r="P296" s="1"/>
      <c r="Q296" s="1"/>
      <c r="AA296" s="9"/>
      <c r="AC296" s="11"/>
    </row>
    <row r="297" spans="1:29" s="8" customFormat="1" ht="15.75">
      <c r="A297" s="13" t="s">
        <v>159</v>
      </c>
      <c r="I297" s="54"/>
      <c r="L297" s="1"/>
      <c r="M297" s="1"/>
      <c r="N297" s="1"/>
      <c r="O297" s="1"/>
      <c r="P297" s="1"/>
      <c r="Q297" s="1"/>
      <c r="AC297" s="11"/>
    </row>
    <row r="298" spans="1:27" s="3" customFormat="1" ht="15.75">
      <c r="A298" s="8" t="s">
        <v>165</v>
      </c>
      <c r="I298" s="55"/>
      <c r="L298" s="1"/>
      <c r="M298" s="1"/>
      <c r="N298" s="1"/>
      <c r="O298" s="1"/>
      <c r="P298" s="1"/>
      <c r="Q298" s="1"/>
      <c r="AA298" s="10"/>
    </row>
    <row r="299" spans="1:27" s="3" customFormat="1" ht="15.75">
      <c r="A299" s="8" t="s">
        <v>155</v>
      </c>
      <c r="I299" s="55"/>
      <c r="L299" s="1"/>
      <c r="M299" s="1"/>
      <c r="N299" s="1"/>
      <c r="O299" s="1"/>
      <c r="P299" s="1"/>
      <c r="Q299" s="1"/>
      <c r="AA299" s="10"/>
    </row>
    <row r="300" ht="15.75">
      <c r="A300" s="21"/>
    </row>
    <row r="303" ht="15.75">
      <c r="AA303" s="102">
        <f>SUM(B295:Z295)</f>
        <v>509490445.43</v>
      </c>
    </row>
  </sheetData>
  <mergeCells count="23">
    <mergeCell ref="B1:B2"/>
    <mergeCell ref="T1:T2"/>
    <mergeCell ref="U1:U2"/>
    <mergeCell ref="C1:C2"/>
    <mergeCell ref="F1:F2"/>
    <mergeCell ref="S1:S2"/>
    <mergeCell ref="E1:E2"/>
    <mergeCell ref="D1:D2"/>
    <mergeCell ref="R1:R2"/>
    <mergeCell ref="G1:G2"/>
    <mergeCell ref="W1:W2"/>
    <mergeCell ref="AC1:AC2"/>
    <mergeCell ref="L1:P1"/>
    <mergeCell ref="Q1:Q2"/>
    <mergeCell ref="Y1:Y2"/>
    <mergeCell ref="AA1:AA2"/>
    <mergeCell ref="X1:X2"/>
    <mergeCell ref="Z1:Z2"/>
    <mergeCell ref="V1:V2"/>
    <mergeCell ref="I1:I2"/>
    <mergeCell ref="K1:K2"/>
    <mergeCell ref="J1:J2"/>
    <mergeCell ref="H1:H2"/>
  </mergeCells>
  <printOptions/>
  <pageMargins left="0.5" right="0.5" top="1" bottom="1" header="0.5" footer="0.5"/>
  <pageSetup horizontalDpi="600" verticalDpi="600" orientation="landscape" paperSize="5" scale="59" r:id="rId4"/>
  <headerFooter alignWithMargins="0">
    <oddHeader>&amp;C&amp;"Times New Roman,Bold"&amp;16HOMELAND SECURITY GRANT PROGRAMS</oddHeader>
    <oddFooter>&amp;L&amp;"Times New Roman,Italic"&amp;9Governor's Work Papers&amp;Cpg. &amp;P&amp;R&amp;D
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8"/>
  <sheetViews>
    <sheetView workbookViewId="0" topLeftCell="A112">
      <selection activeCell="H13" sqref="H13"/>
    </sheetView>
  </sheetViews>
  <sheetFormatPr defaultColWidth="9.00390625" defaultRowHeight="15.75"/>
  <cols>
    <col min="1" max="1" width="20.75390625" style="85" customWidth="1"/>
    <col min="2" max="2" width="9.125" style="85" customWidth="1"/>
    <col min="3" max="3" width="11.00390625" style="85" customWidth="1"/>
    <col min="4" max="4" width="10.875" style="85" customWidth="1"/>
    <col min="5" max="5" width="11.00390625" style="85" customWidth="1"/>
    <col min="6" max="6" width="9.375" style="85" customWidth="1"/>
    <col min="7" max="16384" width="9.00390625" style="85" customWidth="1"/>
  </cols>
  <sheetData>
    <row r="1" spans="1:6" ht="49.5" customHeight="1">
      <c r="A1" s="83" t="s">
        <v>0</v>
      </c>
      <c r="B1" s="155" t="s">
        <v>242</v>
      </c>
      <c r="C1" s="147" t="s">
        <v>244</v>
      </c>
      <c r="D1" s="147" t="s">
        <v>245</v>
      </c>
      <c r="E1" s="144" t="s">
        <v>184</v>
      </c>
      <c r="F1" s="150" t="s">
        <v>243</v>
      </c>
    </row>
    <row r="2" spans="1:6" ht="45.75" customHeight="1">
      <c r="A2" s="86" t="s">
        <v>1</v>
      </c>
      <c r="B2" s="156"/>
      <c r="C2" s="157"/>
      <c r="D2" s="157"/>
      <c r="E2" s="160"/>
      <c r="F2" s="159"/>
    </row>
    <row r="3" spans="1:6" ht="12.75" customHeight="1">
      <c r="A3" s="87"/>
      <c r="B3" s="88"/>
      <c r="C3" s="88"/>
      <c r="D3" s="88"/>
      <c r="E3" s="89"/>
      <c r="F3" s="84"/>
    </row>
    <row r="4" spans="1:6" ht="12">
      <c r="A4" s="30" t="s">
        <v>9</v>
      </c>
      <c r="B4" s="27">
        <v>126918.96</v>
      </c>
      <c r="C4" s="27">
        <v>44158</v>
      </c>
      <c r="D4" s="27">
        <v>129251</v>
      </c>
      <c r="E4" s="41">
        <v>140847.58</v>
      </c>
      <c r="F4" s="27">
        <f>SUM(B4:E4)</f>
        <v>441175.54000000004</v>
      </c>
    </row>
    <row r="5" spans="1:6" ht="12">
      <c r="A5" s="30" t="s">
        <v>10</v>
      </c>
      <c r="B5" s="27">
        <v>63579.28</v>
      </c>
      <c r="C5" s="27">
        <v>72963</v>
      </c>
      <c r="D5" s="27">
        <v>224335</v>
      </c>
      <c r="E5" s="52">
        <v>280754.26</v>
      </c>
      <c r="F5" s="27">
        <f aca="true" t="shared" si="0" ref="F5:F68">SUM(B5:E5)</f>
        <v>641631.54</v>
      </c>
    </row>
    <row r="6" spans="1:6" ht="12">
      <c r="A6" s="30" t="s">
        <v>11</v>
      </c>
      <c r="B6" s="27">
        <v>184438.69</v>
      </c>
      <c r="C6" s="27">
        <v>100586</v>
      </c>
      <c r="D6" s="27">
        <v>315519</v>
      </c>
      <c r="E6" s="52">
        <v>424717.15</v>
      </c>
      <c r="F6" s="27">
        <f t="shared" si="0"/>
        <v>1025260.84</v>
      </c>
    </row>
    <row r="7" spans="1:6" ht="12">
      <c r="A7" s="30" t="s">
        <v>12</v>
      </c>
      <c r="B7" s="27">
        <v>30270.67</v>
      </c>
      <c r="C7" s="27">
        <v>30931</v>
      </c>
      <c r="D7" s="27">
        <v>85591</v>
      </c>
      <c r="E7" s="52">
        <v>69311.22</v>
      </c>
      <c r="F7" s="27">
        <f t="shared" si="0"/>
        <v>216103.88999999998</v>
      </c>
    </row>
    <row r="8" spans="1:6" ht="12">
      <c r="A8" s="30" t="s">
        <v>13</v>
      </c>
      <c r="B8" s="27">
        <v>29504.13</v>
      </c>
      <c r="C8" s="27">
        <v>27285</v>
      </c>
      <c r="D8" s="27">
        <v>73553</v>
      </c>
      <c r="E8" s="52">
        <v>55965.6</v>
      </c>
      <c r="F8" s="27">
        <f t="shared" si="0"/>
        <v>186307.73</v>
      </c>
    </row>
    <row r="9" spans="1:6" ht="12">
      <c r="A9" s="30" t="s">
        <v>14</v>
      </c>
      <c r="B9" s="27">
        <v>39798.61</v>
      </c>
      <c r="C9" s="27">
        <v>40137</v>
      </c>
      <c r="D9" s="27">
        <v>115979</v>
      </c>
      <c r="E9" s="52">
        <v>115621.66</v>
      </c>
      <c r="F9" s="27">
        <f t="shared" si="0"/>
        <v>311536.27</v>
      </c>
    </row>
    <row r="10" spans="1:6" ht="12">
      <c r="A10" s="30" t="s">
        <v>15</v>
      </c>
      <c r="B10" s="27">
        <v>30661.97</v>
      </c>
      <c r="C10" s="27">
        <v>28730</v>
      </c>
      <c r="D10" s="27">
        <v>78325</v>
      </c>
      <c r="E10" s="52">
        <v>58237.6</v>
      </c>
      <c r="F10" s="27">
        <f t="shared" si="0"/>
        <v>195954.57</v>
      </c>
    </row>
    <row r="11" spans="1:6" ht="12">
      <c r="A11" s="30" t="s">
        <v>16</v>
      </c>
      <c r="B11" s="27">
        <v>118943.12</v>
      </c>
      <c r="C11" s="27">
        <v>138948</v>
      </c>
      <c r="D11" s="27">
        <v>442150</v>
      </c>
      <c r="E11" s="52">
        <v>617701.01</v>
      </c>
      <c r="F11" s="27">
        <f t="shared" si="0"/>
        <v>1317742.13</v>
      </c>
    </row>
    <row r="12" spans="1:6" ht="12">
      <c r="A12" s="30" t="s">
        <v>17</v>
      </c>
      <c r="B12" s="27">
        <v>56737.23</v>
      </c>
      <c r="C12" s="27">
        <v>61285</v>
      </c>
      <c r="D12" s="27">
        <v>185787</v>
      </c>
      <c r="E12" s="52">
        <v>222007.29</v>
      </c>
      <c r="F12" s="27">
        <f t="shared" si="0"/>
        <v>525816.52</v>
      </c>
    </row>
    <row r="13" spans="1:6" ht="12">
      <c r="A13" s="30" t="s">
        <v>18</v>
      </c>
      <c r="B13" s="27">
        <v>26313.41</v>
      </c>
      <c r="C13" s="27">
        <v>23301</v>
      </c>
      <c r="D13" s="27">
        <v>60404</v>
      </c>
      <c r="E13" s="52">
        <v>30925.82</v>
      </c>
      <c r="F13" s="27">
        <f t="shared" si="0"/>
        <v>140944.23</v>
      </c>
    </row>
    <row r="14" spans="1:6" ht="12">
      <c r="A14" s="30" t="s">
        <v>19</v>
      </c>
      <c r="B14" s="27">
        <v>26941.81</v>
      </c>
      <c r="C14" s="27">
        <v>24086</v>
      </c>
      <c r="D14" s="27">
        <v>62994</v>
      </c>
      <c r="E14" s="52">
        <v>34872.57</v>
      </c>
      <c r="F14" s="27">
        <f t="shared" si="0"/>
        <v>148894.38</v>
      </c>
    </row>
    <row r="15" spans="1:6" ht="12">
      <c r="A15" s="30" t="s">
        <v>6</v>
      </c>
      <c r="B15" s="27">
        <v>54103.07</v>
      </c>
      <c r="C15" s="27">
        <v>57996</v>
      </c>
      <c r="D15" s="27">
        <v>174931</v>
      </c>
      <c r="E15" s="52">
        <v>205463.11</v>
      </c>
      <c r="F15" s="27">
        <f t="shared" si="0"/>
        <v>492493.18</v>
      </c>
    </row>
    <row r="16" spans="1:6" ht="12">
      <c r="A16" s="30" t="s">
        <v>20</v>
      </c>
      <c r="B16" s="27">
        <v>27229.14</v>
      </c>
      <c r="C16" s="27">
        <v>24444</v>
      </c>
      <c r="D16" s="27">
        <v>64178</v>
      </c>
      <c r="E16" s="52">
        <v>36677.16</v>
      </c>
      <c r="F16" s="27">
        <f t="shared" si="0"/>
        <v>152528.3</v>
      </c>
    </row>
    <row r="17" spans="1:6" ht="12">
      <c r="A17" s="30" t="s">
        <v>21</v>
      </c>
      <c r="B17" s="27">
        <v>39096.37</v>
      </c>
      <c r="C17" s="27">
        <v>39260</v>
      </c>
      <c r="D17" s="27">
        <v>113085</v>
      </c>
      <c r="E17" s="52">
        <v>111211.14</v>
      </c>
      <c r="F17" s="27">
        <f t="shared" si="0"/>
        <v>302652.51</v>
      </c>
    </row>
    <row r="18" spans="1:6" ht="12">
      <c r="A18" s="30" t="s">
        <v>22</v>
      </c>
      <c r="B18" s="27">
        <v>32501.45</v>
      </c>
      <c r="C18" s="27">
        <v>31027</v>
      </c>
      <c r="D18" s="27">
        <v>85906</v>
      </c>
      <c r="E18" s="27">
        <v>69790.76</v>
      </c>
      <c r="F18" s="27">
        <f t="shared" si="0"/>
        <v>219225.21000000002</v>
      </c>
    </row>
    <row r="19" spans="1:6" ht="12">
      <c r="A19" s="30" t="s">
        <v>23</v>
      </c>
      <c r="B19" s="27">
        <v>33029.89</v>
      </c>
      <c r="C19" s="27">
        <v>31686</v>
      </c>
      <c r="D19" s="27">
        <v>88084</v>
      </c>
      <c r="E19" s="52">
        <v>78109.69</v>
      </c>
      <c r="F19" s="27">
        <f t="shared" si="0"/>
        <v>230909.58000000002</v>
      </c>
    </row>
    <row r="20" spans="1:6" ht="12">
      <c r="A20" s="30" t="s">
        <v>24</v>
      </c>
      <c r="B20" s="27">
        <v>37329.22</v>
      </c>
      <c r="C20" s="27">
        <v>37054</v>
      </c>
      <c r="D20" s="27">
        <v>105802</v>
      </c>
      <c r="E20" s="27"/>
      <c r="F20" s="27">
        <f t="shared" si="0"/>
        <v>180185.22</v>
      </c>
    </row>
    <row r="21" spans="1:6" ht="12">
      <c r="A21" s="30" t="s">
        <v>25</v>
      </c>
      <c r="B21" s="27">
        <v>31625.42</v>
      </c>
      <c r="C21" s="27">
        <v>29933</v>
      </c>
      <c r="D21" s="27">
        <v>82296</v>
      </c>
      <c r="E21" s="52">
        <v>64288.65</v>
      </c>
      <c r="F21" s="27">
        <f t="shared" si="0"/>
        <v>208143.06999999998</v>
      </c>
    </row>
    <row r="22" spans="1:6" ht="12">
      <c r="A22" s="30" t="s">
        <v>26</v>
      </c>
      <c r="B22" s="27">
        <v>26966.93</v>
      </c>
      <c r="C22" s="27">
        <v>24117</v>
      </c>
      <c r="D22" s="27">
        <v>63097</v>
      </c>
      <c r="E22" s="52">
        <v>35030.32</v>
      </c>
      <c r="F22" s="27">
        <f t="shared" si="0"/>
        <v>149211.25</v>
      </c>
    </row>
    <row r="23" spans="1:6" ht="12">
      <c r="A23" s="30" t="s">
        <v>27</v>
      </c>
      <c r="B23" s="27">
        <v>49435.05</v>
      </c>
      <c r="C23" s="27">
        <v>52168</v>
      </c>
      <c r="D23" s="27">
        <v>155693</v>
      </c>
      <c r="E23" s="52">
        <v>176144.83</v>
      </c>
      <c r="F23" s="27">
        <f t="shared" si="0"/>
        <v>433440.88</v>
      </c>
    </row>
    <row r="24" spans="1:6" ht="12">
      <c r="A24" s="30" t="s">
        <v>28</v>
      </c>
      <c r="B24" s="27">
        <v>34889.47</v>
      </c>
      <c r="C24" s="27">
        <v>34008</v>
      </c>
      <c r="D24" s="27">
        <v>95747</v>
      </c>
      <c r="E24" s="52">
        <v>84789.05</v>
      </c>
      <c r="F24" s="27">
        <f t="shared" si="0"/>
        <v>249433.52000000002</v>
      </c>
    </row>
    <row r="25" spans="1:6" ht="12">
      <c r="A25" s="30" t="s">
        <v>29</v>
      </c>
      <c r="B25" s="27">
        <v>38467.97</v>
      </c>
      <c r="C25" s="27">
        <v>38476</v>
      </c>
      <c r="D25" s="27">
        <v>110495</v>
      </c>
      <c r="E25" s="52">
        <v>107264.39</v>
      </c>
      <c r="F25" s="27">
        <f t="shared" si="0"/>
        <v>294703.36</v>
      </c>
    </row>
    <row r="26" spans="1:6" ht="12">
      <c r="A26" s="30" t="s">
        <v>30</v>
      </c>
      <c r="B26" s="27">
        <v>27256.76</v>
      </c>
      <c r="C26" s="27">
        <v>24479</v>
      </c>
      <c r="D26" s="27">
        <v>64292</v>
      </c>
      <c r="E26" s="52">
        <v>41850.68</v>
      </c>
      <c r="F26" s="27">
        <f t="shared" si="0"/>
        <v>157878.44</v>
      </c>
    </row>
    <row r="27" spans="1:6" ht="12">
      <c r="A27" s="30" t="s">
        <v>31</v>
      </c>
      <c r="B27" s="27">
        <v>30042.62</v>
      </c>
      <c r="C27" s="27">
        <v>27957</v>
      </c>
      <c r="D27" s="27">
        <v>75773</v>
      </c>
      <c r="E27" s="52">
        <v>54347.63</v>
      </c>
      <c r="F27" s="27">
        <f t="shared" si="0"/>
        <v>188120.25</v>
      </c>
    </row>
    <row r="28" spans="1:6" ht="12">
      <c r="A28" s="30" t="s">
        <v>32</v>
      </c>
      <c r="B28" s="27">
        <v>145506.59</v>
      </c>
      <c r="C28" s="27">
        <v>45251</v>
      </c>
      <c r="D28" s="27">
        <v>132861</v>
      </c>
      <c r="E28" s="52">
        <v>141349.69</v>
      </c>
      <c r="F28" s="27">
        <f t="shared" si="0"/>
        <v>464968.27999999997</v>
      </c>
    </row>
    <row r="29" spans="1:6" ht="12">
      <c r="A29" s="30" t="s">
        <v>33</v>
      </c>
      <c r="B29" s="27">
        <v>341581.92</v>
      </c>
      <c r="C29" s="27">
        <v>145051</v>
      </c>
      <c r="D29" s="27">
        <v>462295</v>
      </c>
      <c r="E29" s="52">
        <v>648401.12</v>
      </c>
      <c r="F29" s="27">
        <f t="shared" si="0"/>
        <v>1597329.04</v>
      </c>
    </row>
    <row r="30" spans="1:6" ht="12">
      <c r="A30" s="30" t="s">
        <v>34</v>
      </c>
      <c r="B30" s="27">
        <v>282587.91</v>
      </c>
      <c r="C30" s="27">
        <v>183130</v>
      </c>
      <c r="D30" s="27">
        <v>587992</v>
      </c>
      <c r="E30" s="52">
        <v>839962.12</v>
      </c>
      <c r="F30" s="27">
        <f t="shared" si="0"/>
        <v>1893672.0299999998</v>
      </c>
    </row>
    <row r="31" spans="1:6" ht="12">
      <c r="A31" s="30" t="s">
        <v>35</v>
      </c>
      <c r="B31" s="27">
        <v>30133.03</v>
      </c>
      <c r="C31" s="27">
        <v>28070</v>
      </c>
      <c r="D31" s="27">
        <v>76145</v>
      </c>
      <c r="E31" s="52">
        <v>54915.51</v>
      </c>
      <c r="F31" s="27">
        <f t="shared" si="0"/>
        <v>189263.54</v>
      </c>
    </row>
    <row r="32" spans="1:6" ht="12">
      <c r="A32" s="30" t="s">
        <v>36</v>
      </c>
      <c r="B32" s="27">
        <v>32265.37</v>
      </c>
      <c r="C32" s="27">
        <v>30732</v>
      </c>
      <c r="D32" s="27">
        <v>84933</v>
      </c>
      <c r="E32" s="52">
        <v>73307.96</v>
      </c>
      <c r="F32" s="27">
        <f t="shared" si="0"/>
        <v>221238.33000000002</v>
      </c>
    </row>
    <row r="33" spans="1:6" ht="12">
      <c r="A33" s="30" t="s">
        <v>37</v>
      </c>
      <c r="B33" s="27">
        <v>26943.82</v>
      </c>
      <c r="C33" s="27">
        <v>24088</v>
      </c>
      <c r="D33" s="27">
        <v>63002</v>
      </c>
      <c r="E33" s="52">
        <v>34885.19</v>
      </c>
      <c r="F33" s="27">
        <f t="shared" si="0"/>
        <v>148919.01</v>
      </c>
    </row>
    <row r="34" spans="1:6" ht="12">
      <c r="A34" s="30" t="s">
        <v>38</v>
      </c>
      <c r="B34" s="27">
        <v>26335.01</v>
      </c>
      <c r="C34" s="27">
        <v>23328</v>
      </c>
      <c r="D34" s="27">
        <v>60493</v>
      </c>
      <c r="E34" s="52">
        <v>31061.48</v>
      </c>
      <c r="F34" s="27">
        <f t="shared" si="0"/>
        <v>141217.49</v>
      </c>
    </row>
    <row r="35" spans="1:6" ht="12">
      <c r="A35" s="30" t="s">
        <v>39</v>
      </c>
      <c r="B35" s="27">
        <v>40988.09</v>
      </c>
      <c r="C35" s="27">
        <v>41622</v>
      </c>
      <c r="D35" s="27">
        <v>120881</v>
      </c>
      <c r="E35" s="52">
        <v>123092.41</v>
      </c>
      <c r="F35" s="27">
        <f t="shared" si="0"/>
        <v>326583.5</v>
      </c>
    </row>
    <row r="36" spans="1:6" ht="12">
      <c r="A36" s="30" t="s">
        <v>40</v>
      </c>
      <c r="B36" s="27">
        <v>28307.1</v>
      </c>
      <c r="C36" s="27">
        <v>25790</v>
      </c>
      <c r="D36" s="27">
        <v>68620</v>
      </c>
      <c r="E36" s="52">
        <v>43447.53</v>
      </c>
      <c r="F36" s="27">
        <f t="shared" si="0"/>
        <v>166164.63</v>
      </c>
    </row>
    <row r="37" spans="1:6" ht="12">
      <c r="A37" s="30" t="s">
        <v>41</v>
      </c>
      <c r="B37" s="27">
        <v>48095.38</v>
      </c>
      <c r="C37" s="27">
        <v>50496</v>
      </c>
      <c r="D37" s="27">
        <v>150172</v>
      </c>
      <c r="E37" s="52">
        <v>167730.77</v>
      </c>
      <c r="F37" s="27">
        <f t="shared" si="0"/>
        <v>416494.15</v>
      </c>
    </row>
    <row r="38" spans="1:6" ht="12">
      <c r="A38" s="30" t="s">
        <v>42</v>
      </c>
      <c r="B38" s="27">
        <v>32013.2</v>
      </c>
      <c r="C38" s="27">
        <v>30417</v>
      </c>
      <c r="D38" s="27">
        <v>83894</v>
      </c>
      <c r="E38" s="52">
        <v>66724.22</v>
      </c>
      <c r="F38" s="27">
        <f t="shared" si="0"/>
        <v>213048.42</v>
      </c>
    </row>
    <row r="39" spans="1:6" ht="12">
      <c r="A39" s="30" t="s">
        <v>43</v>
      </c>
      <c r="B39" s="27">
        <v>36101.05</v>
      </c>
      <c r="C39" s="27">
        <v>35521</v>
      </c>
      <c r="D39" s="27">
        <v>100741</v>
      </c>
      <c r="E39" s="52">
        <v>97398.61</v>
      </c>
      <c r="F39" s="27">
        <f t="shared" si="0"/>
        <v>269761.66</v>
      </c>
    </row>
    <row r="40" spans="1:6" ht="12">
      <c r="A40" s="30" t="s">
        <v>44</v>
      </c>
      <c r="B40" s="27">
        <v>26623.34</v>
      </c>
      <c r="C40" s="27">
        <v>23688</v>
      </c>
      <c r="D40" s="27">
        <v>61681</v>
      </c>
      <c r="E40" s="52">
        <v>37872.38</v>
      </c>
      <c r="F40" s="27">
        <f t="shared" si="0"/>
        <v>149864.72</v>
      </c>
    </row>
    <row r="41" spans="1:6" ht="12">
      <c r="A41" s="30" t="s">
        <v>45</v>
      </c>
      <c r="B41" s="27">
        <v>28795.37</v>
      </c>
      <c r="C41" s="27">
        <v>26400</v>
      </c>
      <c r="D41" s="27">
        <v>70632</v>
      </c>
      <c r="E41" s="52">
        <v>51514.07</v>
      </c>
      <c r="F41" s="27">
        <f t="shared" si="0"/>
        <v>177341.44</v>
      </c>
    </row>
    <row r="42" spans="1:6" ht="12">
      <c r="A42" s="30" t="s">
        <v>46</v>
      </c>
      <c r="B42" s="27">
        <v>34576.53</v>
      </c>
      <c r="C42" s="27">
        <v>33617</v>
      </c>
      <c r="D42" s="27">
        <v>94458</v>
      </c>
      <c r="E42" s="52">
        <v>87823.56</v>
      </c>
      <c r="F42" s="27">
        <f t="shared" si="0"/>
        <v>250475.09</v>
      </c>
    </row>
    <row r="43" spans="1:6" ht="12">
      <c r="A43" s="30" t="s">
        <v>47</v>
      </c>
      <c r="B43" s="27">
        <v>810898.79</v>
      </c>
      <c r="C43" s="27">
        <v>628301</v>
      </c>
      <c r="D43" s="27">
        <v>2057481</v>
      </c>
      <c r="E43" s="52">
        <v>3079439.29</v>
      </c>
      <c r="F43" s="27">
        <f t="shared" si="0"/>
        <v>6576120.08</v>
      </c>
    </row>
    <row r="44" spans="1:6" ht="12">
      <c r="A44" s="30" t="s">
        <v>48</v>
      </c>
      <c r="B44" s="27">
        <v>28990.26</v>
      </c>
      <c r="C44" s="27">
        <v>26643</v>
      </c>
      <c r="D44" s="27">
        <v>71436</v>
      </c>
      <c r="E44" s="52">
        <v>52738.16</v>
      </c>
      <c r="F44" s="27">
        <f t="shared" si="0"/>
        <v>179807.41999999998</v>
      </c>
    </row>
    <row r="45" spans="1:6" ht="12">
      <c r="A45" s="30" t="s">
        <v>49</v>
      </c>
      <c r="B45" s="27">
        <v>151474.96</v>
      </c>
      <c r="C45" s="27">
        <v>54715</v>
      </c>
      <c r="D45" s="27">
        <v>164100</v>
      </c>
      <c r="E45" s="52">
        <v>188956.79</v>
      </c>
      <c r="F45" s="27">
        <f t="shared" si="0"/>
        <v>559246.75</v>
      </c>
    </row>
    <row r="46" spans="1:6" ht="12">
      <c r="A46" s="30" t="s">
        <v>50</v>
      </c>
      <c r="B46" s="27">
        <v>30746.86</v>
      </c>
      <c r="C46" s="27">
        <v>28836</v>
      </c>
      <c r="D46" s="27">
        <v>78675</v>
      </c>
      <c r="E46" s="52">
        <v>58770.77</v>
      </c>
      <c r="F46" s="27">
        <f t="shared" si="0"/>
        <v>197028.62999999998</v>
      </c>
    </row>
    <row r="47" spans="1:6" ht="12">
      <c r="A47" s="30" t="s">
        <v>51</v>
      </c>
      <c r="B47" s="27">
        <v>33847.66</v>
      </c>
      <c r="C47" s="27">
        <v>32707</v>
      </c>
      <c r="D47" s="27">
        <v>91454</v>
      </c>
      <c r="E47" s="52">
        <v>78245.83</v>
      </c>
      <c r="F47" s="27">
        <f t="shared" si="0"/>
        <v>236254.49</v>
      </c>
    </row>
    <row r="48" spans="1:6" ht="12">
      <c r="A48" s="30" t="s">
        <v>52</v>
      </c>
      <c r="B48" s="27">
        <v>27970.05</v>
      </c>
      <c r="C48" s="27">
        <v>25369</v>
      </c>
      <c r="D48" s="27">
        <v>67231</v>
      </c>
      <c r="E48" s="52">
        <v>46330.61</v>
      </c>
      <c r="F48" s="27">
        <f t="shared" si="0"/>
        <v>166900.66</v>
      </c>
    </row>
    <row r="49" spans="1:6" ht="12">
      <c r="A49" s="30" t="s">
        <v>53</v>
      </c>
      <c r="B49" s="27">
        <v>47530.27</v>
      </c>
      <c r="C49" s="27">
        <v>49790</v>
      </c>
      <c r="D49" s="27">
        <v>147843</v>
      </c>
      <c r="E49" s="52">
        <v>164181.54</v>
      </c>
      <c r="F49" s="27">
        <f t="shared" si="0"/>
        <v>409344.81</v>
      </c>
    </row>
    <row r="50" spans="1:6" ht="12">
      <c r="A50" s="30" t="s">
        <v>54</v>
      </c>
      <c r="B50" s="27">
        <v>53519.38</v>
      </c>
      <c r="C50" s="27">
        <v>57267</v>
      </c>
      <c r="D50" s="27">
        <v>172525</v>
      </c>
      <c r="E50" s="52">
        <v>201797.14</v>
      </c>
      <c r="F50" s="27">
        <f t="shared" si="0"/>
        <v>485108.52</v>
      </c>
    </row>
    <row r="51" spans="1:6" ht="12">
      <c r="A51" s="30" t="s">
        <v>55</v>
      </c>
      <c r="B51" s="27">
        <v>33461.89</v>
      </c>
      <c r="C51" s="27">
        <v>32226</v>
      </c>
      <c r="D51" s="27">
        <v>89864</v>
      </c>
      <c r="E51" s="52">
        <v>75822.88</v>
      </c>
      <c r="F51" s="27">
        <f t="shared" si="0"/>
        <v>231374.77000000002</v>
      </c>
    </row>
    <row r="52" spans="1:6" ht="12">
      <c r="A52" s="30" t="s">
        <v>56</v>
      </c>
      <c r="B52" s="27">
        <v>27212.05</v>
      </c>
      <c r="C52" s="27">
        <v>24423</v>
      </c>
      <c r="D52" s="27">
        <v>64107</v>
      </c>
      <c r="E52" s="52">
        <v>36569.9</v>
      </c>
      <c r="F52" s="27">
        <f t="shared" si="0"/>
        <v>152311.95</v>
      </c>
    </row>
    <row r="53" spans="1:6" ht="12">
      <c r="A53" s="30" t="s">
        <v>57</v>
      </c>
      <c r="B53" s="27">
        <v>32144.82</v>
      </c>
      <c r="C53" s="27">
        <v>30581</v>
      </c>
      <c r="D53" s="27">
        <v>84436</v>
      </c>
      <c r="E53" s="52">
        <v>67550.79</v>
      </c>
      <c r="F53" s="27">
        <f t="shared" si="0"/>
        <v>214712.61</v>
      </c>
    </row>
    <row r="54" spans="1:6" ht="12">
      <c r="A54" s="30" t="s">
        <v>58</v>
      </c>
      <c r="B54" s="27">
        <v>41248.28</v>
      </c>
      <c r="C54" s="27">
        <v>41947</v>
      </c>
      <c r="D54" s="27">
        <v>121954</v>
      </c>
      <c r="E54" s="52">
        <v>129726.64</v>
      </c>
      <c r="F54" s="27">
        <f t="shared" si="0"/>
        <v>334875.92</v>
      </c>
    </row>
    <row r="55" spans="1:6" ht="12">
      <c r="A55" s="30" t="s">
        <v>59</v>
      </c>
      <c r="B55" s="27">
        <v>32248.28</v>
      </c>
      <c r="C55" s="27">
        <v>30711</v>
      </c>
      <c r="D55" s="27">
        <v>84863</v>
      </c>
      <c r="E55" s="52">
        <v>73200.7</v>
      </c>
      <c r="F55" s="27">
        <f t="shared" si="0"/>
        <v>221022.97999999998</v>
      </c>
    </row>
    <row r="56" spans="1:6" ht="12">
      <c r="A56" s="30" t="s">
        <v>60</v>
      </c>
      <c r="B56" s="27">
        <v>32777.72</v>
      </c>
      <c r="C56" s="27">
        <v>31372</v>
      </c>
      <c r="D56" s="27">
        <v>87045</v>
      </c>
      <c r="E56" s="52">
        <v>71525.94</v>
      </c>
      <c r="F56" s="27">
        <f t="shared" si="0"/>
        <v>222720.66</v>
      </c>
    </row>
    <row r="57" spans="1:6" ht="12">
      <c r="A57" s="30" t="s">
        <v>61</v>
      </c>
      <c r="B57" s="27">
        <v>31435.03</v>
      </c>
      <c r="C57" s="27">
        <v>29695</v>
      </c>
      <c r="D57" s="27">
        <v>81511</v>
      </c>
      <c r="E57" s="52">
        <v>63092.95</v>
      </c>
      <c r="F57" s="27">
        <f t="shared" si="0"/>
        <v>205733.97999999998</v>
      </c>
    </row>
    <row r="58" spans="1:6" ht="12">
      <c r="A58" s="30" t="s">
        <v>62</v>
      </c>
      <c r="B58" s="27">
        <v>29584.61</v>
      </c>
      <c r="C58" s="27">
        <v>27385</v>
      </c>
      <c r="D58" s="27">
        <v>73885</v>
      </c>
      <c r="E58" s="52">
        <v>56470.38</v>
      </c>
      <c r="F58" s="27">
        <f t="shared" si="0"/>
        <v>187324.99</v>
      </c>
    </row>
    <row r="59" spans="1:6" ht="12">
      <c r="A59" s="30" t="s">
        <v>63</v>
      </c>
      <c r="B59" s="27">
        <v>42541.75</v>
      </c>
      <c r="C59" s="27">
        <v>43562</v>
      </c>
      <c r="D59" s="27">
        <v>127284</v>
      </c>
      <c r="E59" s="52">
        <v>132850.45</v>
      </c>
      <c r="F59" s="27">
        <f t="shared" si="0"/>
        <v>346238.2</v>
      </c>
    </row>
    <row r="60" spans="1:6" ht="12">
      <c r="A60" s="30" t="s">
        <v>64</v>
      </c>
      <c r="B60" s="27">
        <v>180668.89</v>
      </c>
      <c r="C60" s="27">
        <v>111971</v>
      </c>
      <c r="D60" s="27">
        <v>353100</v>
      </c>
      <c r="E60" s="52">
        <v>481990.8</v>
      </c>
      <c r="F60" s="27">
        <f t="shared" si="0"/>
        <v>1127730.69</v>
      </c>
    </row>
    <row r="61" spans="1:6" ht="12">
      <c r="A61" s="30" t="s">
        <v>65</v>
      </c>
      <c r="B61" s="27">
        <v>67137.7</v>
      </c>
      <c r="C61" s="27">
        <v>74270</v>
      </c>
      <c r="D61" s="27">
        <v>228649</v>
      </c>
      <c r="E61" s="52">
        <v>292329.03</v>
      </c>
      <c r="F61" s="27">
        <f t="shared" si="0"/>
        <v>662385.73</v>
      </c>
    </row>
    <row r="62" spans="1:6" ht="12">
      <c r="A62" s="30" t="s">
        <v>66</v>
      </c>
      <c r="B62" s="27">
        <v>44105.47</v>
      </c>
      <c r="C62" s="27">
        <v>45514</v>
      </c>
      <c r="D62" s="27">
        <v>133729</v>
      </c>
      <c r="E62" s="52">
        <v>142671.58</v>
      </c>
      <c r="F62" s="27">
        <f t="shared" si="0"/>
        <v>366020.05</v>
      </c>
    </row>
    <row r="63" spans="1:6" ht="12">
      <c r="A63" s="30" t="s">
        <v>8</v>
      </c>
      <c r="B63" s="27">
        <v>185213.97</v>
      </c>
      <c r="C63" s="27">
        <v>184633</v>
      </c>
      <c r="D63" s="27">
        <v>592954</v>
      </c>
      <c r="E63" s="52">
        <v>847524.37</v>
      </c>
      <c r="F63" s="27">
        <f t="shared" si="0"/>
        <v>1810325.3399999999</v>
      </c>
    </row>
    <row r="64" spans="1:6" ht="12">
      <c r="A64" s="30" t="s">
        <v>67</v>
      </c>
      <c r="B64" s="27">
        <v>52876.93</v>
      </c>
      <c r="C64" s="27">
        <v>56465</v>
      </c>
      <c r="D64" s="27">
        <v>169878</v>
      </c>
      <c r="E64" s="52">
        <v>197762.05</v>
      </c>
      <c r="F64" s="27">
        <f t="shared" si="0"/>
        <v>476981.98</v>
      </c>
    </row>
    <row r="65" spans="1:6" ht="12">
      <c r="A65" s="30" t="s">
        <v>68</v>
      </c>
      <c r="B65" s="27">
        <v>25051.59</v>
      </c>
      <c r="C65" s="27">
        <v>21726</v>
      </c>
      <c r="D65" s="27">
        <v>55204</v>
      </c>
      <c r="E65" s="52">
        <v>23000.77</v>
      </c>
      <c r="F65" s="27">
        <f t="shared" si="0"/>
        <v>124982.36</v>
      </c>
    </row>
    <row r="66" spans="1:6" ht="12">
      <c r="A66" s="30" t="s">
        <v>69</v>
      </c>
      <c r="B66" s="27">
        <v>35006.51</v>
      </c>
      <c r="C66" s="27">
        <v>34154</v>
      </c>
      <c r="D66" s="27">
        <v>96230</v>
      </c>
      <c r="E66" s="52">
        <v>90524.13</v>
      </c>
      <c r="F66" s="27">
        <f t="shared" si="0"/>
        <v>255914.64</v>
      </c>
    </row>
    <row r="67" spans="1:6" ht="12">
      <c r="A67" s="30" t="s">
        <v>70</v>
      </c>
      <c r="B67" s="27">
        <v>38710.59</v>
      </c>
      <c r="C67" s="27">
        <v>38779</v>
      </c>
      <c r="D67" s="27">
        <v>111495</v>
      </c>
      <c r="E67" s="52">
        <v>113788.2</v>
      </c>
      <c r="F67" s="27">
        <f t="shared" si="0"/>
        <v>302772.79</v>
      </c>
    </row>
    <row r="68" spans="1:6" ht="12">
      <c r="A68" s="30" t="s">
        <v>71</v>
      </c>
      <c r="B68" s="27">
        <v>172939.15</v>
      </c>
      <c r="C68" s="27">
        <v>50302</v>
      </c>
      <c r="D68" s="27">
        <v>149532</v>
      </c>
      <c r="E68" s="52">
        <v>171755.92</v>
      </c>
      <c r="F68" s="27">
        <f t="shared" si="0"/>
        <v>544529.0700000001</v>
      </c>
    </row>
    <row r="69" spans="1:6" ht="12">
      <c r="A69" s="30" t="s">
        <v>72</v>
      </c>
      <c r="B69" s="27">
        <v>27108.08</v>
      </c>
      <c r="C69" s="27">
        <v>24293</v>
      </c>
      <c r="D69" s="27">
        <v>63679</v>
      </c>
      <c r="E69" s="52">
        <v>40916.84</v>
      </c>
      <c r="F69" s="27">
        <f aca="true" t="shared" si="1" ref="F69:F132">SUM(B69:E69)</f>
        <v>155996.91999999998</v>
      </c>
    </row>
    <row r="70" spans="1:6" ht="12">
      <c r="A70" s="30" t="s">
        <v>73</v>
      </c>
      <c r="B70" s="27">
        <v>32218.15</v>
      </c>
      <c r="C70" s="27">
        <v>30673</v>
      </c>
      <c r="D70" s="27">
        <v>84738</v>
      </c>
      <c r="E70" s="52">
        <v>68011.41</v>
      </c>
      <c r="F70" s="27">
        <f t="shared" si="1"/>
        <v>215640.56</v>
      </c>
    </row>
    <row r="71" spans="1:6" ht="12">
      <c r="A71" s="30" t="s">
        <v>74</v>
      </c>
      <c r="B71" s="27">
        <v>30381.18</v>
      </c>
      <c r="C71" s="27">
        <v>28380</v>
      </c>
      <c r="D71" s="27">
        <v>77168</v>
      </c>
      <c r="E71" s="52">
        <v>61474.02</v>
      </c>
      <c r="F71" s="27">
        <f t="shared" si="1"/>
        <v>197403.19999999998</v>
      </c>
    </row>
    <row r="72" spans="1:6" ht="12">
      <c r="A72" s="30" t="s">
        <v>75</v>
      </c>
      <c r="B72" s="27">
        <v>29588.02</v>
      </c>
      <c r="C72" s="27">
        <v>27389</v>
      </c>
      <c r="D72" s="27">
        <v>73899</v>
      </c>
      <c r="E72" s="52">
        <v>56492.47</v>
      </c>
      <c r="F72" s="27">
        <f t="shared" si="1"/>
        <v>187368.49</v>
      </c>
    </row>
    <row r="73" spans="1:6" ht="12">
      <c r="A73" s="30" t="s">
        <v>76</v>
      </c>
      <c r="B73" s="27">
        <v>35626.87</v>
      </c>
      <c r="C73" s="27">
        <v>36810</v>
      </c>
      <c r="D73" s="27">
        <v>104997</v>
      </c>
      <c r="E73" s="52">
        <v>98885.04</v>
      </c>
      <c r="F73" s="27">
        <f t="shared" si="1"/>
        <v>276318.91</v>
      </c>
    </row>
    <row r="74" spans="1:6" ht="12">
      <c r="A74" s="30" t="s">
        <v>77</v>
      </c>
      <c r="B74" s="27">
        <v>27227.12</v>
      </c>
      <c r="C74" s="27">
        <v>24442</v>
      </c>
      <c r="D74" s="27">
        <v>64169</v>
      </c>
      <c r="E74" s="52">
        <v>36664.54</v>
      </c>
      <c r="F74" s="27">
        <f t="shared" si="1"/>
        <v>152502.66</v>
      </c>
    </row>
    <row r="75" spans="1:6" ht="12">
      <c r="A75" s="30" t="s">
        <v>78</v>
      </c>
      <c r="B75" s="27">
        <v>108970.12</v>
      </c>
      <c r="C75" s="27">
        <v>126497</v>
      </c>
      <c r="D75" s="27">
        <v>401049</v>
      </c>
      <c r="E75" s="52">
        <v>555064.07</v>
      </c>
      <c r="F75" s="27">
        <f t="shared" si="1"/>
        <v>1191580.19</v>
      </c>
    </row>
    <row r="76" spans="1:6" ht="12">
      <c r="A76" s="30" t="s">
        <v>79</v>
      </c>
      <c r="B76" s="27">
        <v>36650.6</v>
      </c>
      <c r="C76" s="27">
        <v>36207</v>
      </c>
      <c r="D76" s="27">
        <v>103005</v>
      </c>
      <c r="E76" s="52">
        <v>95850.05</v>
      </c>
      <c r="F76" s="27">
        <f t="shared" si="1"/>
        <v>271712.65</v>
      </c>
    </row>
    <row r="77" spans="1:6" ht="12">
      <c r="A77" s="30" t="s">
        <v>80</v>
      </c>
      <c r="B77" s="27">
        <v>30381.18</v>
      </c>
      <c r="C77" s="27">
        <v>28380</v>
      </c>
      <c r="D77" s="27">
        <v>77168</v>
      </c>
      <c r="E77" s="52">
        <v>56474.02</v>
      </c>
      <c r="F77" s="27">
        <f t="shared" si="1"/>
        <v>192403.19999999998</v>
      </c>
    </row>
    <row r="78" spans="1:6" ht="12">
      <c r="A78" s="30" t="s">
        <v>81</v>
      </c>
      <c r="B78" s="27">
        <v>56563.43</v>
      </c>
      <c r="C78" s="27">
        <v>61068</v>
      </c>
      <c r="D78" s="27">
        <v>185070</v>
      </c>
      <c r="E78" s="52">
        <v>220915.7</v>
      </c>
      <c r="F78" s="27">
        <f t="shared" si="1"/>
        <v>523617.13</v>
      </c>
    </row>
    <row r="79" spans="1:6" ht="12">
      <c r="A79" s="30" t="s">
        <v>82</v>
      </c>
      <c r="B79" s="27">
        <v>30066.73</v>
      </c>
      <c r="C79" s="27">
        <v>27987</v>
      </c>
      <c r="D79" s="27">
        <v>75872</v>
      </c>
      <c r="E79" s="52">
        <v>54499.07</v>
      </c>
      <c r="F79" s="27">
        <f t="shared" si="1"/>
        <v>188424.8</v>
      </c>
    </row>
    <row r="80" spans="1:6" ht="12">
      <c r="A80" s="30" t="s">
        <v>83</v>
      </c>
      <c r="B80" s="27">
        <v>41426.61</v>
      </c>
      <c r="C80" s="27">
        <v>42170</v>
      </c>
      <c r="D80" s="27">
        <v>122688</v>
      </c>
      <c r="E80" s="52">
        <v>130846.62</v>
      </c>
      <c r="F80" s="27">
        <f t="shared" si="1"/>
        <v>337131.23</v>
      </c>
    </row>
    <row r="81" spans="1:6" ht="12">
      <c r="A81" s="30" t="s">
        <v>84</v>
      </c>
      <c r="B81" s="27">
        <v>28946.56</v>
      </c>
      <c r="C81" s="27">
        <v>26588</v>
      </c>
      <c r="D81" s="27">
        <v>71256</v>
      </c>
      <c r="E81" s="52">
        <v>52463.69</v>
      </c>
      <c r="F81" s="27">
        <f t="shared" si="1"/>
        <v>179254.25</v>
      </c>
    </row>
    <row r="82" spans="1:6" ht="12">
      <c r="A82" s="30" t="s">
        <v>85</v>
      </c>
      <c r="B82" s="27">
        <v>31521.43</v>
      </c>
      <c r="C82" s="27">
        <v>29803</v>
      </c>
      <c r="D82" s="27">
        <v>81867</v>
      </c>
      <c r="E82" s="52">
        <v>63635.59</v>
      </c>
      <c r="F82" s="27">
        <f t="shared" si="1"/>
        <v>206827.02</v>
      </c>
    </row>
    <row r="83" spans="1:6" ht="12">
      <c r="A83" s="30" t="s">
        <v>86</v>
      </c>
      <c r="B83" s="27">
        <v>28402.54</v>
      </c>
      <c r="C83" s="27">
        <v>25909</v>
      </c>
      <c r="D83" s="27">
        <v>69014</v>
      </c>
      <c r="E83" s="52">
        <v>49046.96</v>
      </c>
      <c r="F83" s="27">
        <f t="shared" si="1"/>
        <v>172372.5</v>
      </c>
    </row>
    <row r="84" spans="1:6" ht="12">
      <c r="A84" s="30" t="s">
        <v>87</v>
      </c>
      <c r="B84" s="27">
        <v>40042.74</v>
      </c>
      <c r="C84" s="27">
        <v>40442</v>
      </c>
      <c r="D84" s="27">
        <v>116985</v>
      </c>
      <c r="E84" s="52">
        <v>117154.93</v>
      </c>
      <c r="F84" s="27">
        <f t="shared" si="1"/>
        <v>314624.67</v>
      </c>
    </row>
    <row r="85" spans="1:6" ht="12">
      <c r="A85" s="30" t="s">
        <v>88</v>
      </c>
      <c r="B85" s="27">
        <v>28766.72</v>
      </c>
      <c r="C85" s="27">
        <v>26364</v>
      </c>
      <c r="D85" s="27">
        <v>70514</v>
      </c>
      <c r="E85" s="52">
        <v>51334.24</v>
      </c>
      <c r="F85" s="27">
        <f t="shared" si="1"/>
        <v>176978.96</v>
      </c>
    </row>
    <row r="86" spans="1:6" ht="12">
      <c r="A86" s="30" t="s">
        <v>89</v>
      </c>
      <c r="B86" s="27">
        <v>160785.96</v>
      </c>
      <c r="C86" s="27">
        <v>72582</v>
      </c>
      <c r="D86" s="27">
        <v>223078</v>
      </c>
      <c r="E86" s="52">
        <v>278839.25</v>
      </c>
      <c r="F86" s="27">
        <f t="shared" si="1"/>
        <v>735285.21</v>
      </c>
    </row>
    <row r="87" spans="1:6" ht="12">
      <c r="A87" s="30" t="s">
        <v>90</v>
      </c>
      <c r="B87" s="27">
        <v>31033.69</v>
      </c>
      <c r="C87" s="27">
        <v>29194</v>
      </c>
      <c r="D87" s="27">
        <v>79857</v>
      </c>
      <c r="E87" s="52">
        <v>60572.21</v>
      </c>
      <c r="F87" s="27">
        <f t="shared" si="1"/>
        <v>200656.9</v>
      </c>
    </row>
    <row r="88" spans="1:6" ht="12">
      <c r="A88" s="30" t="s">
        <v>91</v>
      </c>
      <c r="B88" s="27">
        <v>30539.91</v>
      </c>
      <c r="C88" s="27">
        <v>28578</v>
      </c>
      <c r="D88" s="27">
        <v>77822</v>
      </c>
      <c r="E88" s="52">
        <v>62470.96</v>
      </c>
      <c r="F88" s="27">
        <f t="shared" si="1"/>
        <v>199410.87</v>
      </c>
    </row>
    <row r="89" spans="1:6" ht="12">
      <c r="A89" s="30" t="s">
        <v>92</v>
      </c>
      <c r="B89" s="27">
        <v>193825.67</v>
      </c>
      <c r="C89" s="27">
        <v>133114</v>
      </c>
      <c r="D89" s="27">
        <v>422891</v>
      </c>
      <c r="E89" s="52">
        <v>588351.18</v>
      </c>
      <c r="F89" s="27">
        <f t="shared" si="1"/>
        <v>1338181.85</v>
      </c>
    </row>
    <row r="90" spans="1:6" ht="12">
      <c r="A90" s="30" t="s">
        <v>93</v>
      </c>
      <c r="B90" s="27">
        <v>462744.53</v>
      </c>
      <c r="C90" s="27">
        <v>167138</v>
      </c>
      <c r="D90" s="27">
        <v>535203</v>
      </c>
      <c r="E90" s="52">
        <v>759512.75</v>
      </c>
      <c r="F90" s="27">
        <f t="shared" si="1"/>
        <v>1924598.28</v>
      </c>
    </row>
    <row r="91" spans="1:6" ht="12">
      <c r="A91" s="30" t="s">
        <v>94</v>
      </c>
      <c r="B91" s="27">
        <v>114254.54</v>
      </c>
      <c r="C91" s="27">
        <v>28346</v>
      </c>
      <c r="D91" s="27">
        <v>77058</v>
      </c>
      <c r="E91" s="52">
        <v>61306.81</v>
      </c>
      <c r="F91" s="27">
        <f t="shared" si="1"/>
        <v>280965.35</v>
      </c>
    </row>
    <row r="92" spans="1:6" ht="12">
      <c r="A92" s="30" t="s">
        <v>95</v>
      </c>
      <c r="B92" s="27">
        <v>29935.62</v>
      </c>
      <c r="C92" s="27">
        <v>27823</v>
      </c>
      <c r="D92" s="27">
        <v>75332</v>
      </c>
      <c r="E92" s="52">
        <v>58675.64</v>
      </c>
      <c r="F92" s="27">
        <f t="shared" si="1"/>
        <v>191766.26</v>
      </c>
    </row>
    <row r="93" spans="1:6" ht="12">
      <c r="A93" s="30" t="s">
        <v>96</v>
      </c>
      <c r="B93" s="27">
        <v>25738.77</v>
      </c>
      <c r="C93" s="27">
        <v>22584</v>
      </c>
      <c r="D93" s="27">
        <v>58036</v>
      </c>
      <c r="E93" s="52">
        <v>27316.64</v>
      </c>
      <c r="F93" s="27">
        <f t="shared" si="1"/>
        <v>133675.41</v>
      </c>
    </row>
    <row r="94" spans="1:6" ht="12">
      <c r="A94" s="30" t="s">
        <v>97</v>
      </c>
      <c r="B94" s="27">
        <v>113116.65</v>
      </c>
      <c r="C94" s="27">
        <v>29997</v>
      </c>
      <c r="D94" s="27">
        <v>82507</v>
      </c>
      <c r="E94" s="52">
        <v>69610.45</v>
      </c>
      <c r="F94" s="27">
        <f t="shared" si="1"/>
        <v>295231.1</v>
      </c>
    </row>
    <row r="95" spans="1:6" ht="12">
      <c r="A95" s="30" t="s">
        <v>98</v>
      </c>
      <c r="B95" s="27">
        <v>36778.18</v>
      </c>
      <c r="C95" s="27">
        <v>36366</v>
      </c>
      <c r="D95" s="27">
        <v>103531</v>
      </c>
      <c r="E95" s="52">
        <v>96651.38</v>
      </c>
      <c r="F95" s="27">
        <f t="shared" si="1"/>
        <v>273326.56</v>
      </c>
    </row>
    <row r="96" spans="1:6" ht="12">
      <c r="A96" s="30" t="s">
        <v>99</v>
      </c>
      <c r="B96" s="27">
        <v>35419.92</v>
      </c>
      <c r="C96" s="27">
        <v>34670</v>
      </c>
      <c r="D96" s="27">
        <v>97934</v>
      </c>
      <c r="E96" s="52">
        <v>88120.6</v>
      </c>
      <c r="F96" s="27">
        <f t="shared" si="1"/>
        <v>256144.52</v>
      </c>
    </row>
    <row r="97" spans="1:6" ht="12">
      <c r="A97" s="30" t="s">
        <v>100</v>
      </c>
      <c r="B97" s="27">
        <v>33526.18</v>
      </c>
      <c r="C97" s="27">
        <v>32306</v>
      </c>
      <c r="D97" s="27">
        <v>90129</v>
      </c>
      <c r="E97" s="52">
        <v>76226.71</v>
      </c>
      <c r="F97" s="27">
        <f t="shared" si="1"/>
        <v>232187.89</v>
      </c>
    </row>
    <row r="98" spans="1:6" ht="12">
      <c r="A98" s="30" t="s">
        <v>101</v>
      </c>
      <c r="B98" s="27">
        <v>40725.89</v>
      </c>
      <c r="C98" s="27">
        <v>41295</v>
      </c>
      <c r="D98" s="27">
        <v>119801</v>
      </c>
      <c r="E98" s="52">
        <v>126445.57</v>
      </c>
      <c r="F98" s="27">
        <f t="shared" si="1"/>
        <v>328267.46</v>
      </c>
    </row>
    <row r="99" spans="1:6" ht="12">
      <c r="A99" s="30" t="s">
        <v>102</v>
      </c>
      <c r="B99" s="27">
        <v>54793.27</v>
      </c>
      <c r="C99" s="27">
        <v>58858</v>
      </c>
      <c r="D99" s="27">
        <v>177775</v>
      </c>
      <c r="E99" s="52">
        <v>209797.91</v>
      </c>
      <c r="F99" s="27">
        <f t="shared" si="1"/>
        <v>501224.18000000005</v>
      </c>
    </row>
    <row r="100" spans="1:6" ht="12">
      <c r="A100" s="30" t="s">
        <v>103</v>
      </c>
      <c r="B100" s="27">
        <v>29587.52</v>
      </c>
      <c r="C100" s="27">
        <v>27389</v>
      </c>
      <c r="D100" s="27">
        <v>73897</v>
      </c>
      <c r="E100" s="52">
        <v>56489.31</v>
      </c>
      <c r="F100" s="27">
        <f t="shared" si="1"/>
        <v>187362.83000000002</v>
      </c>
    </row>
    <row r="101" spans="1:6" ht="12">
      <c r="A101" s="30" t="s">
        <v>104</v>
      </c>
      <c r="B101" s="27">
        <v>297718.19</v>
      </c>
      <c r="C101" s="27">
        <v>83203</v>
      </c>
      <c r="D101" s="27">
        <v>258138</v>
      </c>
      <c r="E101" s="52">
        <v>337270.25</v>
      </c>
      <c r="F101" s="27">
        <f t="shared" si="1"/>
        <v>976329.44</v>
      </c>
    </row>
    <row r="102" spans="1:6" ht="12">
      <c r="A102" s="30" t="s">
        <v>105</v>
      </c>
      <c r="B102" s="27">
        <v>35018.07</v>
      </c>
      <c r="C102" s="27">
        <v>34169</v>
      </c>
      <c r="D102" s="27">
        <v>96277</v>
      </c>
      <c r="E102" s="52">
        <v>90596.69</v>
      </c>
      <c r="F102" s="27">
        <f t="shared" si="1"/>
        <v>256060.76</v>
      </c>
    </row>
    <row r="103" spans="1:6" ht="12">
      <c r="A103" s="30" t="s">
        <v>106</v>
      </c>
      <c r="B103" s="27">
        <v>33683.4</v>
      </c>
      <c r="C103" s="27">
        <v>32502</v>
      </c>
      <c r="D103" s="27">
        <v>90777</v>
      </c>
      <c r="E103" s="52">
        <v>77214.18</v>
      </c>
      <c r="F103" s="27">
        <f t="shared" si="1"/>
        <v>234176.58</v>
      </c>
    </row>
    <row r="104" spans="1:6" ht="12">
      <c r="A104" s="30" t="s">
        <v>107</v>
      </c>
      <c r="B104" s="27">
        <v>40377.78</v>
      </c>
      <c r="C104" s="27">
        <v>40860</v>
      </c>
      <c r="D104" s="27">
        <v>118366</v>
      </c>
      <c r="E104" s="52">
        <v>124259.24</v>
      </c>
      <c r="F104" s="27">
        <f t="shared" si="1"/>
        <v>323863.02</v>
      </c>
    </row>
    <row r="105" spans="1:6" ht="12">
      <c r="A105" s="30" t="s">
        <v>108</v>
      </c>
      <c r="B105" s="27">
        <v>164834.77</v>
      </c>
      <c r="C105" s="27">
        <v>196243</v>
      </c>
      <c r="D105" s="27">
        <v>631279</v>
      </c>
      <c r="E105" s="52">
        <v>905930.61</v>
      </c>
      <c r="F105" s="27">
        <f t="shared" si="1"/>
        <v>1898287.38</v>
      </c>
    </row>
    <row r="106" spans="1:6" ht="12">
      <c r="A106" s="30" t="s">
        <v>109</v>
      </c>
      <c r="B106" s="27">
        <v>41422.59</v>
      </c>
      <c r="C106" s="27">
        <v>42165</v>
      </c>
      <c r="D106" s="27">
        <v>122672</v>
      </c>
      <c r="E106" s="52">
        <v>125821.38</v>
      </c>
      <c r="F106" s="27">
        <f t="shared" si="1"/>
        <v>332080.97</v>
      </c>
    </row>
    <row r="107" spans="1:6" ht="12">
      <c r="A107" s="30" t="s">
        <v>110</v>
      </c>
      <c r="B107" s="27">
        <v>31743.96</v>
      </c>
      <c r="C107" s="27">
        <v>30081</v>
      </c>
      <c r="D107" s="27">
        <v>82784</v>
      </c>
      <c r="E107" s="52">
        <v>65033.2</v>
      </c>
      <c r="F107" s="27">
        <f t="shared" si="1"/>
        <v>209642.15999999997</v>
      </c>
    </row>
    <row r="108" spans="1:6" ht="12">
      <c r="A108" s="30" t="s">
        <v>111</v>
      </c>
      <c r="B108" s="27">
        <v>27285.4</v>
      </c>
      <c r="C108" s="27">
        <v>24515</v>
      </c>
      <c r="D108" s="27">
        <v>64410</v>
      </c>
      <c r="E108" s="52">
        <v>37030.51</v>
      </c>
      <c r="F108" s="27">
        <f t="shared" si="1"/>
        <v>153240.91</v>
      </c>
    </row>
    <row r="109" spans="1:6" ht="12">
      <c r="A109" s="30" t="s">
        <v>7</v>
      </c>
      <c r="B109" s="27">
        <v>224021.78</v>
      </c>
      <c r="C109" s="27">
        <v>144177</v>
      </c>
      <c r="D109" s="27">
        <v>459409</v>
      </c>
      <c r="E109" s="52">
        <v>644003.22</v>
      </c>
      <c r="F109" s="27">
        <f t="shared" si="1"/>
        <v>1471611</v>
      </c>
    </row>
    <row r="110" spans="1:6" ht="12">
      <c r="A110" s="30" t="s">
        <v>112</v>
      </c>
      <c r="B110" s="27">
        <v>28202.63</v>
      </c>
      <c r="C110" s="27">
        <v>25660</v>
      </c>
      <c r="D110" s="27">
        <v>68190</v>
      </c>
      <c r="E110" s="52">
        <v>47791.32</v>
      </c>
      <c r="F110" s="27">
        <f t="shared" si="1"/>
        <v>169843.95</v>
      </c>
    </row>
    <row r="111" spans="1:6" ht="12">
      <c r="A111" s="30" t="s">
        <v>113</v>
      </c>
      <c r="B111" s="27">
        <v>71453.09</v>
      </c>
      <c r="C111" s="27">
        <v>79657</v>
      </c>
      <c r="D111" s="27">
        <v>246434</v>
      </c>
      <c r="E111" s="52">
        <v>314432.58</v>
      </c>
      <c r="F111" s="27">
        <f t="shared" si="1"/>
        <v>711976.6699999999</v>
      </c>
    </row>
    <row r="112" spans="1:6" ht="12">
      <c r="A112" s="30" t="s">
        <v>114</v>
      </c>
      <c r="B112" s="27">
        <v>166643.44</v>
      </c>
      <c r="C112" s="27">
        <v>73930</v>
      </c>
      <c r="D112" s="27">
        <v>227527</v>
      </c>
      <c r="E112" s="52">
        <v>285619.08</v>
      </c>
      <c r="F112" s="27">
        <f t="shared" si="1"/>
        <v>753719.52</v>
      </c>
    </row>
    <row r="113" spans="1:6" ht="12">
      <c r="A113" s="30" t="s">
        <v>115</v>
      </c>
      <c r="B113" s="27">
        <v>34229.92</v>
      </c>
      <c r="C113" s="27">
        <v>33185</v>
      </c>
      <c r="D113" s="27">
        <v>93029</v>
      </c>
      <c r="E113" s="52">
        <v>80646.69</v>
      </c>
      <c r="F113" s="27">
        <f t="shared" si="1"/>
        <v>241090.61</v>
      </c>
    </row>
    <row r="114" spans="1:6" ht="12">
      <c r="A114" s="30" t="s">
        <v>116</v>
      </c>
      <c r="B114" s="27">
        <v>157797.12</v>
      </c>
      <c r="C114" s="27">
        <v>62608</v>
      </c>
      <c r="D114" s="27">
        <v>190155</v>
      </c>
      <c r="E114" s="52">
        <v>228664.08</v>
      </c>
      <c r="F114" s="27">
        <f t="shared" si="1"/>
        <v>639224.2</v>
      </c>
    </row>
    <row r="115" spans="1:6" ht="12">
      <c r="A115" s="30" t="s">
        <v>117</v>
      </c>
      <c r="B115" s="27">
        <v>39001.93</v>
      </c>
      <c r="C115" s="27">
        <v>39142</v>
      </c>
      <c r="D115" s="27">
        <v>112696</v>
      </c>
      <c r="E115" s="52">
        <v>110618.03</v>
      </c>
      <c r="F115" s="27">
        <f t="shared" si="1"/>
        <v>301457.95999999996</v>
      </c>
    </row>
    <row r="116" spans="1:6" ht="12">
      <c r="A116" s="30" t="s">
        <v>118</v>
      </c>
      <c r="B116" s="27">
        <v>36208.55</v>
      </c>
      <c r="C116" s="27">
        <v>35655</v>
      </c>
      <c r="D116" s="27">
        <v>101184</v>
      </c>
      <c r="E116" s="52">
        <v>93073.75</v>
      </c>
      <c r="F116" s="27">
        <f t="shared" si="1"/>
        <v>266121.3</v>
      </c>
    </row>
    <row r="117" spans="1:6" ht="12">
      <c r="A117" s="30" t="s">
        <v>119</v>
      </c>
      <c r="B117" s="27">
        <v>35533.44</v>
      </c>
      <c r="C117" s="27">
        <v>34812</v>
      </c>
      <c r="D117" s="27">
        <v>98401</v>
      </c>
      <c r="E117" s="52">
        <v>88833.6</v>
      </c>
      <c r="F117" s="27">
        <f t="shared" si="1"/>
        <v>257580.04</v>
      </c>
    </row>
    <row r="118" spans="1:6" ht="12">
      <c r="A118" s="30" t="s">
        <v>120</v>
      </c>
      <c r="B118" s="27">
        <v>41396.48</v>
      </c>
      <c r="C118" s="27">
        <v>42132</v>
      </c>
      <c r="D118" s="27">
        <v>122564</v>
      </c>
      <c r="E118" s="52">
        <v>125657.33</v>
      </c>
      <c r="F118" s="27">
        <f t="shared" si="1"/>
        <v>331749.81</v>
      </c>
    </row>
    <row r="119" spans="1:6" ht="12">
      <c r="A119" s="30" t="s">
        <v>121</v>
      </c>
      <c r="B119" s="27">
        <v>40394.85</v>
      </c>
      <c r="C119" s="27">
        <v>40882</v>
      </c>
      <c r="D119" s="27">
        <v>118436</v>
      </c>
      <c r="E119" s="52">
        <v>119366.5</v>
      </c>
      <c r="F119" s="27">
        <f t="shared" si="1"/>
        <v>319079.35</v>
      </c>
    </row>
    <row r="120" spans="1:6" ht="12">
      <c r="A120" s="30" t="s">
        <v>122</v>
      </c>
      <c r="B120" s="27">
        <v>32559.22</v>
      </c>
      <c r="C120" s="27">
        <v>31099</v>
      </c>
      <c r="D120" s="27">
        <v>86144</v>
      </c>
      <c r="E120" s="52">
        <v>75153.57</v>
      </c>
      <c r="F120" s="27">
        <f t="shared" si="1"/>
        <v>224955.79</v>
      </c>
    </row>
    <row r="121" spans="1:6" ht="12">
      <c r="A121" s="30" t="s">
        <v>123</v>
      </c>
      <c r="B121" s="27">
        <v>69184.63</v>
      </c>
      <c r="C121" s="27">
        <v>76825</v>
      </c>
      <c r="D121" s="27">
        <v>237085</v>
      </c>
      <c r="E121" s="52">
        <v>300185.15</v>
      </c>
      <c r="F121" s="27">
        <f t="shared" si="1"/>
        <v>683279.78</v>
      </c>
    </row>
    <row r="122" spans="1:6" ht="12">
      <c r="A122" s="30" t="s">
        <v>124</v>
      </c>
      <c r="B122" s="27">
        <v>70214.88</v>
      </c>
      <c r="C122" s="27">
        <v>78112</v>
      </c>
      <c r="D122" s="27">
        <v>241331</v>
      </c>
      <c r="E122" s="52">
        <v>311655.8</v>
      </c>
      <c r="F122" s="27">
        <f t="shared" si="1"/>
        <v>701313.6799999999</v>
      </c>
    </row>
    <row r="123" spans="1:6" ht="12">
      <c r="A123" s="30" t="s">
        <v>125</v>
      </c>
      <c r="B123" s="27">
        <v>35759.48</v>
      </c>
      <c r="C123" s="27">
        <v>35094</v>
      </c>
      <c r="D123" s="27">
        <v>99333</v>
      </c>
      <c r="E123" s="27">
        <v>90253.29</v>
      </c>
      <c r="F123" s="27">
        <f t="shared" si="1"/>
        <v>260439.77000000002</v>
      </c>
    </row>
    <row r="124" spans="1:6" ht="12">
      <c r="A124" s="30" t="s">
        <v>126</v>
      </c>
      <c r="B124" s="27">
        <v>55763.73</v>
      </c>
      <c r="C124" s="27">
        <v>60069</v>
      </c>
      <c r="D124" s="27">
        <v>181775</v>
      </c>
      <c r="E124" s="52">
        <v>220893.13</v>
      </c>
      <c r="F124" s="27">
        <f t="shared" si="1"/>
        <v>518500.86</v>
      </c>
    </row>
    <row r="125" spans="1:6" ht="12">
      <c r="A125" s="30" t="s">
        <v>127</v>
      </c>
      <c r="B125" s="27">
        <v>27208.04</v>
      </c>
      <c r="C125" s="27">
        <v>24418</v>
      </c>
      <c r="D125" s="27">
        <v>64091</v>
      </c>
      <c r="E125" s="52">
        <v>41544.66</v>
      </c>
      <c r="F125" s="27">
        <f t="shared" si="1"/>
        <v>157261.7</v>
      </c>
    </row>
    <row r="126" spans="1:6" ht="12">
      <c r="A126" s="30" t="s">
        <v>128</v>
      </c>
      <c r="B126" s="27">
        <v>30058.68</v>
      </c>
      <c r="C126" s="27">
        <v>27977</v>
      </c>
      <c r="D126" s="27">
        <v>75839</v>
      </c>
      <c r="E126" s="52">
        <v>59448.59</v>
      </c>
      <c r="F126" s="27">
        <f t="shared" si="1"/>
        <v>193323.27</v>
      </c>
    </row>
    <row r="127" spans="1:6" ht="12">
      <c r="A127" s="30" t="s">
        <v>129</v>
      </c>
      <c r="B127" s="27">
        <v>46180.04</v>
      </c>
      <c r="C127" s="27">
        <v>48104</v>
      </c>
      <c r="D127" s="27">
        <v>142278</v>
      </c>
      <c r="E127" s="52">
        <v>155701.23</v>
      </c>
      <c r="F127" s="27">
        <f t="shared" si="1"/>
        <v>392263.27</v>
      </c>
    </row>
    <row r="128" spans="1:6" ht="12">
      <c r="A128" s="30" t="s">
        <v>156</v>
      </c>
      <c r="B128" s="27">
        <v>555141.82</v>
      </c>
      <c r="C128" s="27">
        <v>286830</v>
      </c>
      <c r="D128" s="27">
        <v>930300</v>
      </c>
      <c r="E128" s="52">
        <v>1361633.74</v>
      </c>
      <c r="F128" s="27">
        <f t="shared" si="1"/>
        <v>3133905.5599999996</v>
      </c>
    </row>
    <row r="129" spans="1:6" ht="12">
      <c r="A129" s="30" t="s">
        <v>130</v>
      </c>
      <c r="B129" s="27">
        <v>39642.89</v>
      </c>
      <c r="C129" s="27">
        <v>39943</v>
      </c>
      <c r="D129" s="27">
        <v>115337</v>
      </c>
      <c r="E129" s="52">
        <v>114643.65</v>
      </c>
      <c r="F129" s="27">
        <f t="shared" si="1"/>
        <v>309566.54000000004</v>
      </c>
    </row>
    <row r="130" spans="1:6" ht="12">
      <c r="A130" s="30" t="s">
        <v>131</v>
      </c>
      <c r="B130" s="27">
        <v>49447.61</v>
      </c>
      <c r="C130" s="27">
        <v>52184</v>
      </c>
      <c r="D130" s="27">
        <v>155745</v>
      </c>
      <c r="E130" s="52">
        <v>176223.7</v>
      </c>
      <c r="F130" s="27">
        <f t="shared" si="1"/>
        <v>433600.31</v>
      </c>
    </row>
    <row r="131" spans="1:6" ht="12">
      <c r="A131" s="30" t="s">
        <v>132</v>
      </c>
      <c r="B131" s="27">
        <v>33582.94</v>
      </c>
      <c r="C131" s="27">
        <v>32377</v>
      </c>
      <c r="D131" s="27">
        <v>90363</v>
      </c>
      <c r="E131" s="52">
        <v>76583.21</v>
      </c>
      <c r="F131" s="27">
        <f t="shared" si="1"/>
        <v>232906.15000000002</v>
      </c>
    </row>
    <row r="132" spans="1:6" ht="12">
      <c r="A132" s="30" t="s">
        <v>133</v>
      </c>
      <c r="B132" s="27">
        <v>32175.44</v>
      </c>
      <c r="C132" s="27">
        <v>30620</v>
      </c>
      <c r="D132" s="27">
        <v>84562</v>
      </c>
      <c r="E132" s="52">
        <v>72743.24</v>
      </c>
      <c r="F132" s="27">
        <f t="shared" si="1"/>
        <v>220100.68</v>
      </c>
    </row>
    <row r="133" spans="1:6" ht="12">
      <c r="A133" s="30" t="s">
        <v>134</v>
      </c>
      <c r="B133" s="27">
        <v>154833.52</v>
      </c>
      <c r="C133" s="27">
        <v>27660</v>
      </c>
      <c r="D133" s="27">
        <v>74791</v>
      </c>
      <c r="E133" s="52">
        <v>57852.22</v>
      </c>
      <c r="F133" s="27">
        <f aca="true" t="shared" si="2" ref="F133:F138">SUM(B133:E133)</f>
        <v>315136.74</v>
      </c>
    </row>
    <row r="134" spans="1:6" ht="12">
      <c r="A134" s="30" t="s">
        <v>135</v>
      </c>
      <c r="B134" s="27">
        <v>35624.87</v>
      </c>
      <c r="C134" s="27">
        <v>34926</v>
      </c>
      <c r="D134" s="27">
        <v>98778</v>
      </c>
      <c r="E134" s="52">
        <v>89407.79</v>
      </c>
      <c r="F134" s="27">
        <f t="shared" si="2"/>
        <v>258736.65999999997</v>
      </c>
    </row>
    <row r="135" spans="1:6" ht="12">
      <c r="A135" s="30" t="s">
        <v>136</v>
      </c>
      <c r="B135" s="27">
        <v>43932.17</v>
      </c>
      <c r="C135" s="27">
        <v>45298</v>
      </c>
      <c r="D135" s="27">
        <v>133014</v>
      </c>
      <c r="E135" s="52">
        <v>141583.15</v>
      </c>
      <c r="F135" s="27">
        <f t="shared" si="2"/>
        <v>363827.31999999995</v>
      </c>
    </row>
    <row r="136" spans="1:6" ht="12">
      <c r="A136" s="30" t="s">
        <v>137</v>
      </c>
      <c r="B136" s="27">
        <v>37641.17</v>
      </c>
      <c r="C136" s="27">
        <v>37444</v>
      </c>
      <c r="D136" s="27">
        <v>107088</v>
      </c>
      <c r="E136" s="52">
        <v>102071.46</v>
      </c>
      <c r="F136" s="27">
        <f t="shared" si="2"/>
        <v>284244.63</v>
      </c>
    </row>
    <row r="137" spans="1:6" ht="12.75" thickBot="1">
      <c r="A137" s="39" t="s">
        <v>138</v>
      </c>
      <c r="B137" s="27">
        <v>135389.97</v>
      </c>
      <c r="C137" s="27">
        <v>55441</v>
      </c>
      <c r="D137" s="27">
        <v>166497</v>
      </c>
      <c r="E137" s="52">
        <v>197610.14</v>
      </c>
      <c r="F137" s="31">
        <f t="shared" si="2"/>
        <v>554938.11</v>
      </c>
    </row>
    <row r="138" spans="1:6" ht="12.75" thickTop="1">
      <c r="A138" s="67" t="s">
        <v>152</v>
      </c>
      <c r="B138" s="68">
        <f>SUM(B4:B137)</f>
        <v>9714281.279999996</v>
      </c>
      <c r="C138" s="68">
        <f>SUM(C4:C137)</f>
        <v>7139201</v>
      </c>
      <c r="D138" s="68">
        <f>SUM(D4:D137)</f>
        <v>21353600</v>
      </c>
      <c r="E138" s="68">
        <f>SUM(E4:E137)</f>
        <v>24531199.989999983</v>
      </c>
      <c r="F138" s="22">
        <f t="shared" si="2"/>
        <v>62738282.26999998</v>
      </c>
    </row>
  </sheetData>
  <mergeCells count="5">
    <mergeCell ref="F1:F2"/>
    <mergeCell ref="B1:B2"/>
    <mergeCell ref="C1:C2"/>
    <mergeCell ref="D1:D2"/>
    <mergeCell ref="E1:E2"/>
  </mergeCells>
  <printOptions/>
  <pageMargins left="0.75" right="0.75" top="1" bottom="1" header="0.5" footer="0.5"/>
  <pageSetup horizontalDpi="300" verticalDpi="300" orientation="portrait" r:id="rId2"/>
  <headerFooter alignWithMargins="0">
    <oddHeader>&amp;C&amp;"Times New Roman,Bold"&amp;11Homeland Security Grant Program 1999 - 2004
Total Local Allocations by Jurisdictions</oddHeader>
    <oddFooter>&amp;L&amp;F&amp;C&amp;P&amp;R&amp;D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cadkins</dc:creator>
  <cp:keywords/>
  <dc:description/>
  <cp:lastModifiedBy>cgrier</cp:lastModifiedBy>
  <cp:lastPrinted>2006-02-22T17:27:04Z</cp:lastPrinted>
  <dcterms:created xsi:type="dcterms:W3CDTF">2003-10-17T14:51:26Z</dcterms:created>
  <dcterms:modified xsi:type="dcterms:W3CDTF">2006-03-28T14:17:09Z</dcterms:modified>
  <cp:category/>
  <cp:version/>
  <cp:contentType/>
  <cp:contentStatus/>
</cp:coreProperties>
</file>