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chartsheets/sheet15.xml" ContentType="application/vnd.openxmlformats-officedocument.spreadsheetml.chartsheet+xml"/>
  <Override PartName="/xl/drawings/drawing17.xml" ContentType="application/vnd.openxmlformats-officedocument.drawing+xml"/>
  <Override PartName="/xl/chartsheets/sheet16.xml" ContentType="application/vnd.openxmlformats-officedocument.spreadsheetml.chartsheet+xml"/>
  <Override PartName="/xl/drawings/drawing18.xml" ContentType="application/vnd.openxmlformats-officedocument.drawing+xml"/>
  <Override PartName="/xl/chartsheets/sheet17.xml" ContentType="application/vnd.openxmlformats-officedocument.spreadsheetml.chartsheet+xml"/>
  <Override PartName="/xl/drawings/drawing19.xml" ContentType="application/vnd.openxmlformats-officedocument.drawing+xml"/>
  <Override PartName="/xl/chartsheets/sheet18.xml" ContentType="application/vnd.openxmlformats-officedocument.spreadsheetml.chartsheet+xml"/>
  <Override PartName="/xl/drawings/drawing20.xml" ContentType="application/vnd.openxmlformats-officedocument.drawing+xml"/>
  <Override PartName="/xl/chartsheets/sheet19.xml" ContentType="application/vnd.openxmlformats-officedocument.spreadsheetml.chartsheet+xml"/>
  <Override PartName="/xl/drawings/drawing21.xml" ContentType="application/vnd.openxmlformats-officedocument.drawing+xml"/>
  <Override PartName="/xl/chartsheets/sheet20.xml" ContentType="application/vnd.openxmlformats-officedocument.spreadsheetml.chartsheet+xml"/>
  <Override PartName="/xl/drawings/drawing22.xml" ContentType="application/vnd.openxmlformats-officedocument.drawing+xml"/>
  <Override PartName="/xl/chartsheets/sheet21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activeTab="0"/>
  </bookViews>
  <sheets>
    <sheet name="Notes" sheetId="1" r:id="rId1"/>
    <sheet name="KeyFactors" sheetId="2" r:id="rId2"/>
    <sheet name="AnnualFactors" sheetId="3" r:id="rId3"/>
    <sheet name="AnnualFactorsLow" sheetId="4" r:id="rId4"/>
    <sheet name="AnnualFactorsHigh" sheetId="5" r:id="rId5"/>
    <sheet name="SectorEquations" sheetId="6" r:id="rId6"/>
    <sheet name="SectorParameters" sheetId="7" r:id="rId7"/>
    <sheet name="Jobs_3Scenarios" sheetId="8" r:id="rId8"/>
    <sheet name="Pop_3Scenarios" sheetId="9" r:id="rId9"/>
    <sheet name="HH_3Scenarios" sheetId="10" r:id="rId10"/>
    <sheet name="Calculations&amp;Graphs" sheetId="11" r:id="rId11"/>
    <sheet name="Output" sheetId="12" r:id="rId12"/>
    <sheet name="CalculationsLow" sheetId="13" r:id="rId13"/>
    <sheet name="OutputLow" sheetId="14" r:id="rId14"/>
    <sheet name="CalculationsHigh" sheetId="15" r:id="rId15"/>
    <sheet name="OutputHigh" sheetId="16" r:id="rId16"/>
    <sheet name="MSAData" sheetId="17" r:id="rId17"/>
    <sheet name="NationalDataInterm" sheetId="18" r:id="rId18"/>
    <sheet name="NationalDataLow" sheetId="19" r:id="rId19"/>
    <sheet name="NationalDataHigh" sheetId="20" r:id="rId20"/>
    <sheet name="EMPtoPOPRatio" sheetId="21" r:id="rId21"/>
    <sheet name="HHCNG" sheetId="22" r:id="rId22"/>
    <sheet name="PopCng" sheetId="23" r:id="rId23"/>
    <sheet name="EmpCng" sheetId="24" r:id="rId24"/>
    <sheet name="HHComp" sheetId="25" r:id="rId25"/>
    <sheet name="PopComp " sheetId="26" r:id="rId26"/>
    <sheet name="EmpComp" sheetId="27" r:id="rId27"/>
    <sheet name="CNG Ratios" sheetId="28" r:id="rId28"/>
    <sheet name="Total Cng" sheetId="29" r:id="rId29"/>
    <sheet name="Emp Ratio" sheetId="30" r:id="rId30"/>
    <sheet name="ElderlyRatio" sheetId="31" r:id="rId31"/>
    <sheet name="YouthRatio" sheetId="32" r:id="rId32"/>
    <sheet name="NetCommutationPCT (2)" sheetId="33" r:id="rId33"/>
    <sheet name="NetCommutationPCT" sheetId="34" r:id="rId34"/>
    <sheet name="Retail" sheetId="35" r:id="rId35"/>
    <sheet name="Retail (2)" sheetId="36" r:id="rId36"/>
    <sheet name="Services" sheetId="37" r:id="rId37"/>
    <sheet name="Services (2)" sheetId="38" r:id="rId38"/>
  </sheets>
  <definedNames>
    <definedName name="_xlnm.Print_Area" localSheetId="11">'Output'!$A$1:$H$76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<sst xmlns="http://schemas.openxmlformats.org/spreadsheetml/2006/main" count="883" uniqueCount="378">
  <si>
    <t>DRAFT</t>
  </si>
  <si>
    <t>Round 7 Key Factors Summary</t>
  </si>
  <si>
    <t>% Multiple Job Holders (all scenarios)</t>
  </si>
  <si>
    <t>Employment Rate</t>
  </si>
  <si>
    <t>Low Growth Scenario</t>
  </si>
  <si>
    <t>Intermediate Growth Scenario</t>
  </si>
  <si>
    <t>High Growth Scenario</t>
  </si>
  <si>
    <t>Youth and Elderly Population as a % of Labor Force Population (16 to 64 years)</t>
  </si>
  <si>
    <t>% Youth Population (under 16 years)</t>
  </si>
  <si>
    <t>% Elderly Population (65 years +)</t>
  </si>
  <si>
    <t>Low Growth Scenario (10-year growth=6%)</t>
  </si>
  <si>
    <t>Intermediate Growth Scenario (11%)</t>
  </si>
  <si>
    <t>High Growth Scenario (16%)</t>
  </si>
  <si>
    <t>Self-Employed</t>
  </si>
  <si>
    <t>Group Quarters</t>
  </si>
  <si>
    <t>Average Household Size (Modeling &amp; Key Factors combined version)</t>
  </si>
  <si>
    <t>Average Household Size (David's original)</t>
  </si>
  <si>
    <r>
      <t xml:space="preserve">Round 7 Equations </t>
    </r>
    <r>
      <rPr>
        <sz val="10"/>
        <rFont val="Arial"/>
        <family val="2"/>
      </rPr>
      <t>(numbers in parenthesis are the t-stats of the coefficients)</t>
    </r>
  </si>
  <si>
    <t xml:space="preserve">MSA Retail = </t>
  </si>
  <si>
    <t>-3.7044 + 0.95715*Ln(U.S. Retail) + 0.01592*Ln(MSAPopCng-1)</t>
  </si>
  <si>
    <r>
      <t>Adj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.9648</t>
    </r>
  </si>
  <si>
    <t>(-9.18)</t>
  </si>
  <si>
    <t xml:space="preserve">            (22.37)</t>
  </si>
  <si>
    <t xml:space="preserve">                      (2.09)</t>
  </si>
  <si>
    <t xml:space="preserve">MSA Wholesale = </t>
  </si>
  <si>
    <t>-4.36006 + 0.6755*Ln(MSA Retail-1) + 0.54214*Ln(U.S. Wholesale)</t>
  </si>
  <si>
    <r>
      <t>Adj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.9429</t>
    </r>
  </si>
  <si>
    <t>(-3.05)</t>
  </si>
  <si>
    <t xml:space="preserve">               (3.44)</t>
  </si>
  <si>
    <t xml:space="preserve">                (1.89)</t>
  </si>
  <si>
    <t>MSA FIRE =</t>
  </si>
  <si>
    <t>-7.90976 + 0.017117*US FIRE + 0.164764*MSAConst-1</t>
  </si>
  <si>
    <r>
      <t>Adj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.9908</t>
    </r>
  </si>
  <si>
    <t>(-3.72)</t>
  </si>
  <si>
    <t xml:space="preserve">             (30.59)</t>
  </si>
  <si>
    <t xml:space="preserve">               (5.56)</t>
  </si>
  <si>
    <t>MSA Construction =</t>
  </si>
  <si>
    <t>-5.64317 + 1.214477*Ln(U.S.Construction)</t>
  </si>
  <si>
    <r>
      <t>Adj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.7862</t>
    </r>
  </si>
  <si>
    <t>(-5.82)</t>
  </si>
  <si>
    <t xml:space="preserve">                   (10.55)</t>
  </si>
  <si>
    <t>MSA TCPU =</t>
  </si>
  <si>
    <t>-50.2830 + 0.0172*US TCPU + 0.6375*MSAMfg</t>
  </si>
  <si>
    <r>
      <t>Adj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.9551</t>
    </r>
  </si>
  <si>
    <t>(-7.47)</t>
  </si>
  <si>
    <t xml:space="preserve">            (9.16)</t>
  </si>
  <si>
    <t xml:space="preserve">         (7.20)</t>
  </si>
  <si>
    <r>
      <t>MSA Membership Organizations</t>
    </r>
    <r>
      <rPr>
        <b/>
        <sz val="12"/>
        <color indexed="10"/>
        <rFont val="Arial"/>
        <family val="2"/>
      </rPr>
      <t xml:space="preserve"> *</t>
    </r>
    <r>
      <rPr>
        <b/>
        <sz val="10"/>
        <rFont val="Arial"/>
        <family val="2"/>
      </rPr>
      <t xml:space="preserve"> =</t>
    </r>
  </si>
  <si>
    <t xml:space="preserve">14.4078 + .00207*US Membership </t>
  </si>
  <si>
    <r>
      <t>Adj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.9299</t>
    </r>
  </si>
  <si>
    <t>(3.68)</t>
  </si>
  <si>
    <t xml:space="preserve">                  (11.56)</t>
  </si>
  <si>
    <t>MSA State &amp; Local Govt. =</t>
  </si>
  <si>
    <t>7.55375 + 0.013659*US St&amp;Loc Govt</t>
  </si>
  <si>
    <r>
      <t>Adj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.9511</t>
    </r>
  </si>
  <si>
    <t>(0.94)</t>
  </si>
  <si>
    <t xml:space="preserve">             (24.17)</t>
  </si>
  <si>
    <t>MSA Manufacturing =</t>
  </si>
  <si>
    <t>7869.251 + 139.0399*Ln(USPrint &amp;Pub) - 1158.93*Ln(Year)</t>
  </si>
  <si>
    <r>
      <t>Adj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.9614</t>
    </r>
  </si>
  <si>
    <t>(2.96)</t>
  </si>
  <si>
    <t xml:space="preserve">                  (12.36)</t>
  </si>
  <si>
    <t xml:space="preserve">                          (-3.22)</t>
  </si>
  <si>
    <t>MSA Health Services =</t>
  </si>
  <si>
    <t>-122.193 +0.007525*USHealthServ. + 0.045838*MSAPop-1</t>
  </si>
  <si>
    <r>
      <t>Adj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.9851</t>
    </r>
  </si>
  <si>
    <t>(-5.21)</t>
  </si>
  <si>
    <t xml:space="preserve">              (3.57)</t>
  </si>
  <si>
    <t xml:space="preserve">                 (4.49)</t>
  </si>
  <si>
    <t>MSA Business Services =</t>
  </si>
  <si>
    <t>22.03063 + 0.03108*USBusServ.</t>
  </si>
  <si>
    <r>
      <t>Adj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.9841</t>
    </r>
  </si>
  <si>
    <t>(6.26)</t>
  </si>
  <si>
    <t xml:space="preserve">            (43.16)</t>
  </si>
  <si>
    <t>MSA Other Services =</t>
  </si>
  <si>
    <t>-122.1557 + 0.03644*USOtherServ</t>
  </si>
  <si>
    <r>
      <t>Adj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.9636</t>
    </r>
  </si>
  <si>
    <t>(-6.83)</t>
  </si>
  <si>
    <t xml:space="preserve">             (25.77)</t>
  </si>
  <si>
    <t>* started from 1990</t>
  </si>
  <si>
    <t>YEAR</t>
  </si>
  <si>
    <t>M-RETAIL</t>
  </si>
  <si>
    <t>M-Wh.Tr</t>
  </si>
  <si>
    <t>M-FIRE</t>
  </si>
  <si>
    <t>M-Const</t>
  </si>
  <si>
    <t>M-TCPU</t>
  </si>
  <si>
    <t>M-Memb</t>
  </si>
  <si>
    <t>M-St&amp;Loc</t>
  </si>
  <si>
    <t>M-Mfg</t>
  </si>
  <si>
    <t>M-H.Serv</t>
  </si>
  <si>
    <t>M-B.Serv</t>
  </si>
  <si>
    <t>M-OthServ</t>
  </si>
  <si>
    <t>M-Pop</t>
  </si>
  <si>
    <t>M-Pop (-1)</t>
  </si>
  <si>
    <t>70-71</t>
  </si>
  <si>
    <t>71-72</t>
  </si>
  <si>
    <t>98-99</t>
  </si>
  <si>
    <t>PopCng (-1)</t>
  </si>
  <si>
    <t>year</t>
  </si>
  <si>
    <t>BLS U.S. MFG Total</t>
  </si>
  <si>
    <t>BLS U.S. Printing &amp; PublishingTotal</t>
  </si>
  <si>
    <t>BLS U.S. Construction Total</t>
  </si>
  <si>
    <t>BLS U.S. TCPU Total</t>
  </si>
  <si>
    <t>BLS U.S. Retail Total</t>
  </si>
  <si>
    <t>BLS U.S. Wholesale Total</t>
  </si>
  <si>
    <t>BLS U.S. FIRE Total</t>
  </si>
  <si>
    <t>BLS U.S. Services Total</t>
  </si>
  <si>
    <t>BLS U.S. Bus Services Total</t>
  </si>
  <si>
    <t>BLS U.S. Health Services Total, New Proj</t>
  </si>
  <si>
    <t>BLS U.S. Membershp Services Total</t>
  </si>
  <si>
    <t>BLS U.S. Other Services Total</t>
  </si>
  <si>
    <t>BLS U.S. St&amp;LocGovt Total</t>
  </si>
  <si>
    <t>Sum of ADJUSTED Total BLS, Without Federal Government</t>
  </si>
  <si>
    <t>Check of Services</t>
  </si>
  <si>
    <t>Year</t>
  </si>
  <si>
    <t>Percent Multiple Job Holders</t>
  </si>
  <si>
    <t>Pct Youth Pop of 16-64</t>
  </si>
  <si>
    <t>Pct Elderly Pop of 16-64</t>
  </si>
  <si>
    <t>Self-Employment Rate</t>
  </si>
  <si>
    <t>Group Quarters Rate</t>
  </si>
  <si>
    <t>Average Household Size</t>
  </si>
  <si>
    <t>Federal Civilian Govt</t>
  </si>
  <si>
    <t>Federal Military Govt</t>
  </si>
  <si>
    <t>Retail</t>
  </si>
  <si>
    <t>Intercept</t>
  </si>
  <si>
    <t>Wholesale</t>
  </si>
  <si>
    <t>Ln_M-RETAIL-1</t>
  </si>
  <si>
    <t>LN_U.S.WTr</t>
  </si>
  <si>
    <t>FIRE</t>
  </si>
  <si>
    <t>US-FIRE</t>
  </si>
  <si>
    <t>M-Const-1</t>
  </si>
  <si>
    <t>Construction</t>
  </si>
  <si>
    <t>LnUSConst</t>
  </si>
  <si>
    <t>TCPU</t>
  </si>
  <si>
    <t>US-TCPU</t>
  </si>
  <si>
    <t>MSA_MFG</t>
  </si>
  <si>
    <t>Membership</t>
  </si>
  <si>
    <t>US Membership</t>
  </si>
  <si>
    <t>St &amp; Loc Govt.</t>
  </si>
  <si>
    <t>US-St&amp;Loc</t>
  </si>
  <si>
    <t>MFG</t>
  </si>
  <si>
    <t>Ln Year</t>
  </si>
  <si>
    <t>LNUSPRINT</t>
  </si>
  <si>
    <t>Health Serv</t>
  </si>
  <si>
    <t>Business Serv</t>
  </si>
  <si>
    <t>Other Serv</t>
  </si>
  <si>
    <t>U.S. Health</t>
  </si>
  <si>
    <t>M-POP-1</t>
  </si>
  <si>
    <t>US-B.Serv</t>
  </si>
  <si>
    <t>U.S. Other</t>
  </si>
  <si>
    <t>MSA MFG</t>
  </si>
  <si>
    <t>MSAConst</t>
  </si>
  <si>
    <t>MSA TCPU</t>
  </si>
  <si>
    <t>MSAFIRE</t>
  </si>
  <si>
    <t>MSAMembership</t>
  </si>
  <si>
    <t>HealthServ</t>
  </si>
  <si>
    <t>Bus Serv</t>
  </si>
  <si>
    <t>OtherServ</t>
  </si>
  <si>
    <t>St&amp;Loc Govt</t>
  </si>
  <si>
    <t>= Total Wage &amp; Salary Jobs</t>
  </si>
  <si>
    <t>Sum of Non Govt Private Sector</t>
  </si>
  <si>
    <t>+ Federal Civilian Jobs</t>
  </si>
  <si>
    <t>+ Omitted Jobs</t>
  </si>
  <si>
    <t>=Total W&amp;S Civilian Jobs</t>
  </si>
  <si>
    <t>+ Military Jobs</t>
  </si>
  <si>
    <t>= Total Jobs by Place of Work</t>
  </si>
  <si>
    <t>(-) Multiple Job Holders</t>
  </si>
  <si>
    <t>= Total Employed Persons 16+</t>
  </si>
  <si>
    <t>(-) Net Commuters</t>
  </si>
  <si>
    <t>= Total Employed Residents, Age 16+</t>
  </si>
  <si>
    <t>divided by emp residents as a pct of total pop, ages 16-64</t>
  </si>
  <si>
    <t>= Total Population, 16-64</t>
  </si>
  <si>
    <t>(*) Pct Youth Pop of 16-64</t>
  </si>
  <si>
    <t xml:space="preserve"> = Pop &lt; 16</t>
  </si>
  <si>
    <t>(*) Pct Elderly Pop of 16-64</t>
  </si>
  <si>
    <t>(*) pop 16-64 = Pop 65+</t>
  </si>
  <si>
    <t>Total Pop (sum of three components)</t>
  </si>
  <si>
    <t>(-) Groups Quarters Pop</t>
  </si>
  <si>
    <t>= Total Household Population</t>
  </si>
  <si>
    <t>divided by HH Size</t>
  </si>
  <si>
    <t>= Total Housholds</t>
  </si>
  <si>
    <t>Scaled Total POP</t>
  </si>
  <si>
    <t>Scaled GQ POP</t>
  </si>
  <si>
    <t>Scaled HH Pop</t>
  </si>
  <si>
    <t>Scaled Households</t>
  </si>
  <si>
    <t>HH size correction:</t>
  </si>
  <si>
    <t>US-RETAIL</t>
  </si>
  <si>
    <t>Retail (altered)</t>
  </si>
  <si>
    <t xml:space="preserve">8.6713 + 0.0166*U.S. Retail </t>
  </si>
  <si>
    <t>(0.65)</t>
  </si>
  <si>
    <t xml:space="preserve">            (22.39)</t>
  </si>
  <si>
    <r>
      <t>Adj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.9470</t>
    </r>
  </si>
  <si>
    <t>(altered)</t>
  </si>
  <si>
    <t>Sector</t>
  </si>
  <si>
    <t>Manufacturing</t>
  </si>
  <si>
    <t>Wholesale Trade</t>
  </si>
  <si>
    <t>Retail Trade</t>
  </si>
  <si>
    <t>F.I.R.E.</t>
  </si>
  <si>
    <t>Omitted Employment</t>
  </si>
  <si>
    <t>PROJECTED EMPLOYMENT TRENDS - WASHINGTON -  MSA</t>
  </si>
  <si>
    <t>(Draft - Round 7 - INTERMEDIATE Scenario)</t>
  </si>
  <si>
    <t>2000-</t>
  </si>
  <si>
    <t>2005-</t>
  </si>
  <si>
    <t>2010-</t>
  </si>
  <si>
    <t>2015-</t>
  </si>
  <si>
    <t>2020-</t>
  </si>
  <si>
    <t>2025-</t>
  </si>
  <si>
    <t>CHANGE IN PROJECTED EMPLOYMENT  - WASHINGTON -  MSA</t>
  </si>
  <si>
    <t>PCT CHANGE IN PROJECTED EMPLOYMENT  - WASHINGTON -  MSA</t>
  </si>
  <si>
    <t>TOTAL JOBS</t>
  </si>
  <si>
    <t>TOTAL POPULATION</t>
  </si>
  <si>
    <t>TOTAL HOUSEHOLDS</t>
  </si>
  <si>
    <t xml:space="preserve">Note: using </t>
  </si>
  <si>
    <t>scaled population</t>
  </si>
  <si>
    <t>Services</t>
  </si>
  <si>
    <t>Government</t>
  </si>
  <si>
    <t xml:space="preserve">  Business Services</t>
  </si>
  <si>
    <t xml:space="preserve">  Health Services</t>
  </si>
  <si>
    <t xml:space="preserve">  Membership Org</t>
  </si>
  <si>
    <t xml:space="preserve">  Other Services</t>
  </si>
  <si>
    <t xml:space="preserve">  State &amp; Local Govt.</t>
  </si>
  <si>
    <t xml:space="preserve">  Federal Civilian Govt.</t>
  </si>
  <si>
    <t xml:space="preserve">  Military Govt.</t>
  </si>
  <si>
    <t>(Draft - Round 7 - LOW Scenario)</t>
  </si>
  <si>
    <t>(Draft - Round 7 - HIGH Scenario)</t>
  </si>
  <si>
    <t>Descriptions of Worksheets contained in this file</t>
  </si>
  <si>
    <t xml:space="preserve">KeyFactors - </t>
  </si>
  <si>
    <t>Five-year key factors from the Key Factors Subgroup.  Note that from the original numbers</t>
  </si>
  <si>
    <t>handed out at the Oct. 21st meeting: the low and high growth scenario numbers were switched</t>
  </si>
  <si>
    <t>for the "employment rate" and "GQs."  Also, low and high HH size scenarios were generated by</t>
  </si>
  <si>
    <t>applying the old difference between intermediate and low and high scenarios to the new</t>
  </si>
  <si>
    <t>intermediate hh size.</t>
  </si>
  <si>
    <t>AnnualFactors -</t>
  </si>
  <si>
    <t>Intermediate key factors annualized from 2001 to 2030.</t>
  </si>
  <si>
    <t>AnnualFactorsLow -</t>
  </si>
  <si>
    <t>Low scenario key factors annualized from 2001 to 2030.</t>
  </si>
  <si>
    <t>AnnualFactorsHigh -</t>
  </si>
  <si>
    <t>High scenario key factors annualized from 2001 to 2030.</t>
  </si>
  <si>
    <t>SectorEquations -</t>
  </si>
  <si>
    <t xml:space="preserve">The individual regression equations for MSA employment sectors.  Note that these equations are </t>
  </si>
  <si>
    <t>from file RND7_FinalEquations_Oct8_2003.xls, and there was one change subsequently made.</t>
  </si>
  <si>
    <t xml:space="preserve">When first run in the context of this model, there was a projected population loss in one of the </t>
  </si>
  <si>
    <t>early years.  The original equation had as an independent variable the Ln of the population change</t>
  </si>
  <si>
    <t xml:space="preserve">(lagged). Since the LN of a negative number is undefined, this caused everything else to be </t>
  </si>
  <si>
    <t>not defined (I.e. future pop numbers). Therefore, took out this term, and re-ran the regression</t>
  </si>
  <si>
    <t>equation with the historical data and derived new parameters.</t>
  </si>
  <si>
    <t>SectorParameters -</t>
  </si>
  <si>
    <t xml:space="preserve">The coefficients of the variables from the sector equations.  It is this spreadsheet which is </t>
  </si>
  <si>
    <t>referenced in the calculations page.</t>
  </si>
  <si>
    <t>Calculations -</t>
  </si>
  <si>
    <t>The calculations of projected regional jobs, population and households, as well as other</t>
  </si>
  <si>
    <t xml:space="preserve">Output - </t>
  </si>
  <si>
    <t>Summary of INTERMEDIATE SCENARIO jobs, population and household projections.</t>
  </si>
  <si>
    <t>CalculationsLow -</t>
  </si>
  <si>
    <t>components for the LOW SCENARIO.</t>
  </si>
  <si>
    <t>OutputLow -</t>
  </si>
  <si>
    <t>Summary of LOW SCENARIO jobs, population and household projections.</t>
  </si>
  <si>
    <t>CalculationsHigh -</t>
  </si>
  <si>
    <t>components for the HIGH SCENARIO.</t>
  </si>
  <si>
    <t>OutputHigh -</t>
  </si>
  <si>
    <t>Summary of HIGH SCENARIO jobs, population and household projections.</t>
  </si>
  <si>
    <t xml:space="preserve">MSAData - </t>
  </si>
  <si>
    <t>Historical jobs and pop data for the Washcog 83MSA</t>
  </si>
  <si>
    <t>NationalDataInterm -</t>
  </si>
  <si>
    <t>National jobs projections by sector for the INTERMEDIATE SCENARIO, used as independent</t>
  </si>
  <si>
    <t>variables in the regression equations.</t>
  </si>
  <si>
    <t>NationalDataLow -</t>
  </si>
  <si>
    <t>National jobs projections by sector for the LOW SCENARIO, used as independent</t>
  </si>
  <si>
    <t>NationalDataHigh -</t>
  </si>
  <si>
    <t>National jobs projections by sector for the HIGH SCENARIO, used as independent</t>
  </si>
  <si>
    <t>Note: This file differs from file Round_7EconometricModelWorking.xls by alterations to the national job projections</t>
  </si>
  <si>
    <t>for Retail, and all of the Services subsectors.  These sectors were lowered from the original forecast.</t>
  </si>
  <si>
    <t>These alternate national projections are worked out in file: FinalProjectedNationalBLSto2030AlteredOct27.xls</t>
  </si>
  <si>
    <t>(Essentially tried to increase the difference between W&amp;P and extended BLS numbers from the original projection</t>
  </si>
  <si>
    <t>for the 2011 to 2030 period.  Are still keeping the 2001 to 2010 period the same, which assumes that BLS national</t>
  </si>
  <si>
    <t>targets will be achieved for all sectors but mfg by 2010 despite continued job loss through the first three quarters</t>
  </si>
  <si>
    <t>and HHs, to account for "calculated" 2000 values for these variables as opposed to actual values.</t>
  </si>
  <si>
    <t>This is done for all scenarios.</t>
  </si>
  <si>
    <t>components for the INTERMEDIATE SCENARIO. Note: are creating scaled pop, HHpop, GQpop</t>
  </si>
  <si>
    <t>of 2003.)</t>
  </si>
  <si>
    <t>and file: Initial_Projected_BLSto2030AlteredOct27.xls.</t>
  </si>
  <si>
    <t>1980-1985</t>
  </si>
  <si>
    <t>1985-1990</t>
  </si>
  <si>
    <t>1990-1995</t>
  </si>
  <si>
    <t>1995-2000</t>
  </si>
  <si>
    <t>2000-2005</t>
  </si>
  <si>
    <t>2005-2010</t>
  </si>
  <si>
    <t>2010-2015</t>
  </si>
  <si>
    <t>2015-2020</t>
  </si>
  <si>
    <t>2020-2025</t>
  </si>
  <si>
    <t>2025-2030</t>
  </si>
  <si>
    <t>w&amp;Pnat.</t>
  </si>
  <si>
    <t>=Total Civilian Jobs</t>
  </si>
  <si>
    <t>Net Commutation as a pct of total W&amp;S Jobs</t>
  </si>
  <si>
    <t>= Total Wage &amp; Salary Civilian Jobs</t>
  </si>
  <si>
    <t xml:space="preserve"> = Pop 65+</t>
  </si>
  <si>
    <t>Emp RND 7.0</t>
  </si>
  <si>
    <t>Emp RND 6.3</t>
  </si>
  <si>
    <t>Pop RND 7.0</t>
  </si>
  <si>
    <t>Pop RND 6.3</t>
  </si>
  <si>
    <t>HH RND 7.0</t>
  </si>
  <si>
    <t>HH RND 6.3</t>
  </si>
  <si>
    <t>Emp/Pop Ratio RND 6.3</t>
  </si>
  <si>
    <t>Emp/pop Ratio Rnd 7.0</t>
  </si>
  <si>
    <t>Change: Emp to Pop, R7</t>
  </si>
  <si>
    <t>Change: Emp to Pop R6.3</t>
  </si>
  <si>
    <t>Emp CNG RND6.3</t>
  </si>
  <si>
    <t>Emp Cng RND7</t>
  </si>
  <si>
    <t>Pop Cng RND7</t>
  </si>
  <si>
    <t>Pop CNG RND6.3</t>
  </si>
  <si>
    <t>HH Cng RND7</t>
  </si>
  <si>
    <t>HH CNG RND6.3</t>
  </si>
  <si>
    <t>RND 7 Change</t>
  </si>
  <si>
    <t>RND 6.3 Change</t>
  </si>
  <si>
    <t>Emp</t>
  </si>
  <si>
    <t>Pop</t>
  </si>
  <si>
    <t>HHs</t>
  </si>
  <si>
    <t>Ratio RND 7 Change</t>
  </si>
  <si>
    <t>Emp to Pop</t>
  </si>
  <si>
    <t>Pop to HHs</t>
  </si>
  <si>
    <t>HHs to Emp</t>
  </si>
  <si>
    <t>Obers-Based</t>
  </si>
  <si>
    <t xml:space="preserve">Rnd 7Net Commutation </t>
  </si>
  <si>
    <t xml:space="preserve">Rnd 6 Net Commutation </t>
  </si>
  <si>
    <t>Rnd7 Youth Ratio</t>
  </si>
  <si>
    <t>RND6.3Youth Ratio</t>
  </si>
  <si>
    <t>RND 7 Elderly Ratio</t>
  </si>
  <si>
    <t>RND6.3 Elderly Ratio</t>
  </si>
  <si>
    <t>RND 6.3 EMP Ratio</t>
  </si>
  <si>
    <t>RND 7 Emp Ratio</t>
  </si>
  <si>
    <t>2010-2020</t>
  </si>
  <si>
    <t>2020-2030</t>
  </si>
  <si>
    <t>CB pop</t>
  </si>
  <si>
    <t>2000-2010</t>
  </si>
  <si>
    <t>with ext age</t>
  </si>
  <si>
    <t>16-64</t>
  </si>
  <si>
    <t>entire pop</t>
  </si>
  <si>
    <t>Using this (entire pop pct cng, ratioed to emp growth of 05-10 pd.)</t>
  </si>
  <si>
    <t>cb pop projection 05 - 10</t>
  </si>
  <si>
    <t>Entire Pop</t>
  </si>
  <si>
    <t>not used</t>
  </si>
  <si>
    <t>Not used</t>
  </si>
  <si>
    <t>Net In-Commuting Rate</t>
  </si>
  <si>
    <t>Scaled Youth pop</t>
  </si>
  <si>
    <t>Scaled Working Pop</t>
  </si>
  <si>
    <t>Scaled Elderly Pop</t>
  </si>
  <si>
    <t>Job Growth</t>
  </si>
  <si>
    <t>Total Pop</t>
  </si>
  <si>
    <t>Additional Changes for this version</t>
  </si>
  <si>
    <t>CB-age related growth rates</t>
  </si>
  <si>
    <t>16-65</t>
  </si>
  <si>
    <t>16-66</t>
  </si>
  <si>
    <t>16-67</t>
  </si>
  <si>
    <t>16-68</t>
  </si>
  <si>
    <t>Job growth rates</t>
  </si>
  <si>
    <t>00-05 pd</t>
  </si>
  <si>
    <t>Adjusting CB pop growth rates by emp/pop ratios</t>
  </si>
  <si>
    <t>05-10 pd</t>
  </si>
  <si>
    <t>00-10 pd</t>
  </si>
  <si>
    <t xml:space="preserve">Note: This column not </t>
  </si>
  <si>
    <t>used</t>
  </si>
  <si>
    <t>Total CB Pop Projections</t>
  </si>
  <si>
    <t>Ratioed projections</t>
  </si>
  <si>
    <t>2. Modify national job growth rates for the 2010 - 2030 period using national pop growth rates for extended working pop</t>
  </si>
  <si>
    <t>Previous Changes</t>
  </si>
  <si>
    <t>Interim Total Jobs</t>
  </si>
  <si>
    <t xml:space="preserve"> Low Total Jobs</t>
  </si>
  <si>
    <t>High Total Jobs</t>
  </si>
  <si>
    <t>Interim Total Pop</t>
  </si>
  <si>
    <t xml:space="preserve"> Low Total Pop</t>
  </si>
  <si>
    <t>High Total Pop</t>
  </si>
  <si>
    <t>Interim Total HHs</t>
  </si>
  <si>
    <t xml:space="preserve"> Low Total HHs</t>
  </si>
  <si>
    <t>High Total HHs</t>
  </si>
  <si>
    <t>1. Convert commutation rates to percentages of employed persons, 16 + instead of a projected absolute number. (Wayne Koempel)</t>
  </si>
  <si>
    <t>(16-67).  These growth rates were ratioed to 2000-2010 emp growth to U.S. Census Bureau National pop growth</t>
  </si>
  <si>
    <t>(See NationalDataInterm worksheet, cells R108..R148)  High and low national emp projections 2011 to 2030 adjusted based</t>
  </si>
  <si>
    <t>on adjustment of interim set.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</si>
</sst>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"/>
    <numFmt numFmtId="167" formatCode="#,##0.0"/>
    <numFmt numFmtId="168" formatCode="_(* #,##0.0_);_(* \(#,##0.0\);_(* &quot;-&quot;??_);_(@_)"/>
    <numFmt numFmtId="169" formatCode="#,##0.0000"/>
    <numFmt numFmtId="170" formatCode="0.00000000000000%"/>
    <numFmt numFmtId="171" formatCode="#,##0.000"/>
    <numFmt numFmtId="172" formatCode="0.000"/>
    <numFmt numFmtId="173" formatCode="0.000%"/>
    <numFmt numFmtId="174" formatCode="0.0000000000000000%"/>
  </numFmts>
  <fonts count="23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  <font>
      <sz val="10"/>
      <color indexed="6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/>
    </xf>
    <xf numFmtId="0" fontId="0" fillId="0" borderId="0" xfId="0" applyAlignment="1" quotePrefix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 quotePrefix="1">
      <alignment/>
    </xf>
    <xf numFmtId="0" fontId="4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 quotePrefix="1">
      <alignment/>
    </xf>
    <xf numFmtId="2" fontId="4" fillId="0" borderId="1" xfId="0" applyNumberFormat="1" applyFont="1" applyBorder="1" applyAlignment="1" quotePrefix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166" fontId="0" fillId="2" borderId="0" xfId="0" applyNumberFormat="1" applyFont="1" applyFill="1" applyAlignment="1">
      <alignment horizontal="right" wrapText="1"/>
    </xf>
    <xf numFmtId="166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8" fontId="0" fillId="0" borderId="0" xfId="15" applyNumberFormat="1" applyFill="1" applyAlignment="1">
      <alignment/>
    </xf>
    <xf numFmtId="166" fontId="0" fillId="3" borderId="0" xfId="0" applyNumberFormat="1" applyFill="1" applyBorder="1" applyAlignment="1">
      <alignment/>
    </xf>
    <xf numFmtId="166" fontId="0" fillId="0" borderId="0" xfId="15" applyNumberFormat="1" applyAlignment="1">
      <alignment/>
    </xf>
    <xf numFmtId="0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167" fontId="2" fillId="0" borderId="0" xfId="0" applyNumberFormat="1" applyFont="1" applyFill="1" applyAlignment="1">
      <alignment wrapText="1"/>
    </xf>
    <xf numFmtId="167" fontId="2" fillId="0" borderId="0" xfId="0" applyNumberFormat="1" applyFont="1" applyFill="1" applyAlignment="1">
      <alignment horizontal="center" wrapText="1"/>
    </xf>
    <xf numFmtId="167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167" fontId="0" fillId="0" borderId="0" xfId="0" applyNumberFormat="1" applyFont="1" applyFill="1" applyAlignment="1">
      <alignment wrapText="1"/>
    </xf>
    <xf numFmtId="167" fontId="0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7" fontId="0" fillId="0" borderId="0" xfId="0" applyNumberFormat="1" applyFont="1" applyAlignment="1">
      <alignment/>
    </xf>
    <xf numFmtId="167" fontId="1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7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167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7" fontId="6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169" fontId="10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0" fontId="2" fillId="4" borderId="0" xfId="0" applyFont="1" applyFill="1" applyAlignment="1">
      <alignment/>
    </xf>
    <xf numFmtId="164" fontId="0" fillId="4" borderId="0" xfId="0" applyNumberFormat="1" applyFill="1" applyAlignment="1">
      <alignment/>
    </xf>
    <xf numFmtId="10" fontId="0" fillId="4" borderId="0" xfId="0" applyNumberFormat="1" applyFill="1" applyAlignment="1">
      <alignment/>
    </xf>
    <xf numFmtId="0" fontId="0" fillId="4" borderId="0" xfId="0" applyFill="1" applyAlignment="1">
      <alignment/>
    </xf>
    <xf numFmtId="171" fontId="0" fillId="0" borderId="0" xfId="0" applyNumberFormat="1" applyAlignment="1">
      <alignment/>
    </xf>
    <xf numFmtId="171" fontId="0" fillId="4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4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0" xfId="0" applyFont="1" applyAlignment="1" quotePrefix="1">
      <alignment horizontal="right" wrapText="1"/>
    </xf>
    <xf numFmtId="17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5" borderId="0" xfId="0" applyFill="1" applyAlignment="1">
      <alignment/>
    </xf>
    <xf numFmtId="166" fontId="0" fillId="5" borderId="0" xfId="0" applyNumberFormat="1" applyFill="1" applyAlignment="1">
      <alignment/>
    </xf>
    <xf numFmtId="167" fontId="0" fillId="5" borderId="0" xfId="0" applyNumberFormat="1" applyFill="1" applyAlignment="1">
      <alignment/>
    </xf>
    <xf numFmtId="173" fontId="0" fillId="5" borderId="0" xfId="0" applyNumberFormat="1" applyFill="1" applyAlignment="1">
      <alignment/>
    </xf>
    <xf numFmtId="10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  <xf numFmtId="167" fontId="0" fillId="5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2" fontId="0" fillId="4" borderId="0" xfId="0" applyNumberFormat="1" applyFill="1" applyAlignment="1">
      <alignment/>
    </xf>
    <xf numFmtId="167" fontId="14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4" borderId="0" xfId="0" applyFont="1" applyFill="1" applyAlignment="1">
      <alignment/>
    </xf>
    <xf numFmtId="0" fontId="6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0" fontId="17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2" fillId="0" borderId="0" xfId="0" applyFont="1" applyAlignment="1">
      <alignment wrapText="1"/>
    </xf>
    <xf numFmtId="10" fontId="10" fillId="0" borderId="0" xfId="0" applyNumberFormat="1" applyFont="1" applyFill="1" applyAlignment="1">
      <alignment/>
    </xf>
    <xf numFmtId="10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ill="1" applyAlignment="1">
      <alignment/>
    </xf>
    <xf numFmtId="10" fontId="0" fillId="5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67" fontId="21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0" fontId="0" fillId="0" borderId="0" xfId="0" applyFont="1" applyAlignment="1" quotePrefix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chartsheet" Target="chartsheets/sheet4.xml" /><Relationship Id="rId22" Type="http://schemas.openxmlformats.org/officeDocument/2006/relationships/chartsheet" Target="chartsheets/sheet5.xml" /><Relationship Id="rId23" Type="http://schemas.openxmlformats.org/officeDocument/2006/relationships/chartsheet" Target="chartsheets/sheet6.xml" /><Relationship Id="rId24" Type="http://schemas.openxmlformats.org/officeDocument/2006/relationships/chartsheet" Target="chartsheets/sheet7.xml" /><Relationship Id="rId25" Type="http://schemas.openxmlformats.org/officeDocument/2006/relationships/chartsheet" Target="chartsheets/sheet8.xml" /><Relationship Id="rId26" Type="http://schemas.openxmlformats.org/officeDocument/2006/relationships/chartsheet" Target="chartsheets/sheet9.xml" /><Relationship Id="rId27" Type="http://schemas.openxmlformats.org/officeDocument/2006/relationships/chartsheet" Target="chartsheets/sheet10.xml" /><Relationship Id="rId28" Type="http://schemas.openxmlformats.org/officeDocument/2006/relationships/chartsheet" Target="chartsheets/sheet11.xml" /><Relationship Id="rId29" Type="http://schemas.openxmlformats.org/officeDocument/2006/relationships/chartsheet" Target="chartsheets/sheet12.xml" /><Relationship Id="rId30" Type="http://schemas.openxmlformats.org/officeDocument/2006/relationships/chartsheet" Target="chartsheets/sheet13.xml" /><Relationship Id="rId31" Type="http://schemas.openxmlformats.org/officeDocument/2006/relationships/chartsheet" Target="chartsheets/sheet14.xml" /><Relationship Id="rId32" Type="http://schemas.openxmlformats.org/officeDocument/2006/relationships/chartsheet" Target="chartsheets/sheet15.xml" /><Relationship Id="rId33" Type="http://schemas.openxmlformats.org/officeDocument/2006/relationships/chartsheet" Target="chartsheets/sheet16.xml" /><Relationship Id="rId34" Type="http://schemas.openxmlformats.org/officeDocument/2006/relationships/chartsheet" Target="chartsheets/sheet17.xml" /><Relationship Id="rId35" Type="http://schemas.openxmlformats.org/officeDocument/2006/relationships/chartsheet" Target="chartsheets/sheet18.xml" /><Relationship Id="rId36" Type="http://schemas.openxmlformats.org/officeDocument/2006/relationships/chartsheet" Target="chartsheets/sheet19.xml" /><Relationship Id="rId37" Type="http://schemas.openxmlformats.org/officeDocument/2006/relationships/chartsheet" Target="chartsheets/sheet20.xml" /><Relationship Id="rId38" Type="http://schemas.openxmlformats.org/officeDocument/2006/relationships/chartsheet" Target="chartsheets/sheet21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Preliminary RND 7.0 Job Projections for the WASHCOG Planning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575"/>
          <c:w val="0.977"/>
          <c:h val="0.82925"/>
        </c:manualLayout>
      </c:layout>
      <c:lineChart>
        <c:grouping val="standard"/>
        <c:varyColors val="0"/>
        <c:ser>
          <c:idx val="0"/>
          <c:order val="0"/>
          <c:tx>
            <c:v>Interim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'Calculations&amp;Graphs'!$CU$2:$CU$32</c:f>
              <c:numCache>
                <c:ptCount val="31"/>
                <c:pt idx="0">
                  <c:v>2853.4</c:v>
                </c:pt>
                <c:pt idx="1">
                  <c:v>2900.9000000000005</c:v>
                </c:pt>
                <c:pt idx="2">
                  <c:v>2877.2999999999997</c:v>
                </c:pt>
                <c:pt idx="3">
                  <c:v>2927.2</c:v>
                </c:pt>
                <c:pt idx="4">
                  <c:v>2987.9999999999995</c:v>
                </c:pt>
                <c:pt idx="5">
                  <c:v>3051.7999999999997</c:v>
                </c:pt>
                <c:pt idx="6">
                  <c:v>3117.7000000000003</c:v>
                </c:pt>
                <c:pt idx="7">
                  <c:v>3185.8</c:v>
                </c:pt>
                <c:pt idx="8">
                  <c:v>3256</c:v>
                </c:pt>
                <c:pt idx="9">
                  <c:v>3328.2</c:v>
                </c:pt>
                <c:pt idx="10">
                  <c:v>3406.2999999999997</c:v>
                </c:pt>
                <c:pt idx="11">
                  <c:v>3446.7</c:v>
                </c:pt>
                <c:pt idx="12">
                  <c:v>3485.1</c:v>
                </c:pt>
                <c:pt idx="13">
                  <c:v>3523.1</c:v>
                </c:pt>
                <c:pt idx="14">
                  <c:v>3561.2000000000003</c:v>
                </c:pt>
                <c:pt idx="15">
                  <c:v>3599.5</c:v>
                </c:pt>
                <c:pt idx="16">
                  <c:v>3631.7999999999997</c:v>
                </c:pt>
                <c:pt idx="17">
                  <c:v>3664.6000000000004</c:v>
                </c:pt>
                <c:pt idx="18">
                  <c:v>3697.8</c:v>
                </c:pt>
                <c:pt idx="19">
                  <c:v>3731.5</c:v>
                </c:pt>
                <c:pt idx="20">
                  <c:v>3765.7</c:v>
                </c:pt>
                <c:pt idx="21">
                  <c:v>3797.3999999999996</c:v>
                </c:pt>
                <c:pt idx="22">
                  <c:v>3828.8</c:v>
                </c:pt>
                <c:pt idx="23">
                  <c:v>3860.4000000000005</c:v>
                </c:pt>
                <c:pt idx="24">
                  <c:v>3892.5</c:v>
                </c:pt>
                <c:pt idx="25">
                  <c:v>3924.9</c:v>
                </c:pt>
                <c:pt idx="26">
                  <c:v>3944</c:v>
                </c:pt>
                <c:pt idx="27">
                  <c:v>3960.9</c:v>
                </c:pt>
                <c:pt idx="28">
                  <c:v>3977.9</c:v>
                </c:pt>
                <c:pt idx="29">
                  <c:v>3994.9</c:v>
                </c:pt>
                <c:pt idx="30">
                  <c:v>4001.9</c:v>
                </c:pt>
              </c:numCache>
            </c:numRef>
          </c:val>
          <c:smooth val="0"/>
        </c:ser>
        <c:ser>
          <c:idx val="1"/>
          <c:order val="1"/>
          <c:tx>
            <c:v>Low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'Calculations&amp;Graphs'!$CV$2:$CV$32</c:f>
              <c:numCache>
                <c:ptCount val="31"/>
                <c:pt idx="0">
                  <c:v>2853.4</c:v>
                </c:pt>
                <c:pt idx="1">
                  <c:v>2900.9000000000005</c:v>
                </c:pt>
                <c:pt idx="2">
                  <c:v>2883.1</c:v>
                </c:pt>
                <c:pt idx="3">
                  <c:v>2912.2000000000003</c:v>
                </c:pt>
                <c:pt idx="4">
                  <c:v>2962.2999999999997</c:v>
                </c:pt>
                <c:pt idx="5">
                  <c:v>3015.9999999999995</c:v>
                </c:pt>
                <c:pt idx="6">
                  <c:v>3070.9</c:v>
                </c:pt>
                <c:pt idx="7">
                  <c:v>3128.4</c:v>
                </c:pt>
                <c:pt idx="8">
                  <c:v>3187.2000000000003</c:v>
                </c:pt>
                <c:pt idx="9">
                  <c:v>3247.2</c:v>
                </c:pt>
                <c:pt idx="10">
                  <c:v>3312.1000000000004</c:v>
                </c:pt>
                <c:pt idx="11">
                  <c:v>3332.2</c:v>
                </c:pt>
                <c:pt idx="12">
                  <c:v>3356.5</c:v>
                </c:pt>
                <c:pt idx="13">
                  <c:v>3380.5</c:v>
                </c:pt>
                <c:pt idx="14">
                  <c:v>3403.8</c:v>
                </c:pt>
                <c:pt idx="15">
                  <c:v>3426.7999999999997</c:v>
                </c:pt>
                <c:pt idx="16">
                  <c:v>3443.6</c:v>
                </c:pt>
                <c:pt idx="17">
                  <c:v>3460.1000000000004</c:v>
                </c:pt>
                <c:pt idx="18">
                  <c:v>3476.4</c:v>
                </c:pt>
                <c:pt idx="19">
                  <c:v>3492.8</c:v>
                </c:pt>
                <c:pt idx="20">
                  <c:v>3508.9</c:v>
                </c:pt>
                <c:pt idx="21">
                  <c:v>3522</c:v>
                </c:pt>
                <c:pt idx="22">
                  <c:v>3534.2000000000003</c:v>
                </c:pt>
                <c:pt idx="23">
                  <c:v>3545.9</c:v>
                </c:pt>
                <c:pt idx="24">
                  <c:v>3557.1000000000004</c:v>
                </c:pt>
                <c:pt idx="25">
                  <c:v>3568.0000000000005</c:v>
                </c:pt>
                <c:pt idx="26">
                  <c:v>3565.8</c:v>
                </c:pt>
                <c:pt idx="27">
                  <c:v>3561.3</c:v>
                </c:pt>
                <c:pt idx="28">
                  <c:v>3556.2</c:v>
                </c:pt>
                <c:pt idx="29">
                  <c:v>3550.8</c:v>
                </c:pt>
                <c:pt idx="30">
                  <c:v>3535.9</c:v>
                </c:pt>
              </c:numCache>
            </c:numRef>
          </c:val>
          <c:smooth val="0"/>
        </c:ser>
        <c:ser>
          <c:idx val="2"/>
          <c:order val="2"/>
          <c:tx>
            <c:v>High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'Calculations&amp;Graphs'!$CW$2:$CW$32</c:f>
              <c:numCache>
                <c:ptCount val="31"/>
                <c:pt idx="0">
                  <c:v>2868.9</c:v>
                </c:pt>
                <c:pt idx="1">
                  <c:v>2916.7000000000003</c:v>
                </c:pt>
                <c:pt idx="2">
                  <c:v>2902.4</c:v>
                </c:pt>
                <c:pt idx="3">
                  <c:v>2979</c:v>
                </c:pt>
                <c:pt idx="4">
                  <c:v>3053.7</c:v>
                </c:pt>
                <c:pt idx="5">
                  <c:v>3131.2999999999997</c:v>
                </c:pt>
                <c:pt idx="6">
                  <c:v>3212</c:v>
                </c:pt>
                <c:pt idx="7">
                  <c:v>3295.2999999999997</c:v>
                </c:pt>
                <c:pt idx="8">
                  <c:v>3381.7000000000003</c:v>
                </c:pt>
                <c:pt idx="9">
                  <c:v>3471.4</c:v>
                </c:pt>
                <c:pt idx="10">
                  <c:v>3568.2000000000003</c:v>
                </c:pt>
                <c:pt idx="11">
                  <c:v>3617.1</c:v>
                </c:pt>
                <c:pt idx="12">
                  <c:v>3674.0000000000005</c:v>
                </c:pt>
                <c:pt idx="13">
                  <c:v>3732.1</c:v>
                </c:pt>
                <c:pt idx="14">
                  <c:v>3791.6000000000004</c:v>
                </c:pt>
                <c:pt idx="15">
                  <c:v>3852.3</c:v>
                </c:pt>
                <c:pt idx="16">
                  <c:v>3907.7</c:v>
                </c:pt>
                <c:pt idx="17">
                  <c:v>3964.6</c:v>
                </c:pt>
                <c:pt idx="18">
                  <c:v>4022.8</c:v>
                </c:pt>
                <c:pt idx="19">
                  <c:v>4082.7000000000003</c:v>
                </c:pt>
                <c:pt idx="20">
                  <c:v>4144.200000000001</c:v>
                </c:pt>
                <c:pt idx="21">
                  <c:v>4204.099999999999</c:v>
                </c:pt>
                <c:pt idx="22">
                  <c:v>4265.1</c:v>
                </c:pt>
                <c:pt idx="23">
                  <c:v>4327.7</c:v>
                </c:pt>
                <c:pt idx="24">
                  <c:v>4392.3</c:v>
                </c:pt>
                <c:pt idx="25">
                  <c:v>4459</c:v>
                </c:pt>
                <c:pt idx="26">
                  <c:v>4511.8</c:v>
                </c:pt>
                <c:pt idx="27">
                  <c:v>4563.400000000001</c:v>
                </c:pt>
                <c:pt idx="28">
                  <c:v>4616.1</c:v>
                </c:pt>
                <c:pt idx="29">
                  <c:v>4670.400000000001</c:v>
                </c:pt>
                <c:pt idx="30">
                  <c:v>4714.1</c:v>
                </c:pt>
              </c:numCache>
            </c:numRef>
          </c:val>
          <c:smooth val="0"/>
        </c:ser>
        <c:marker val="1"/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  <c:min val="2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4882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25"/>
          <c:y val="0.95425"/>
          <c:w val="0.28475"/>
          <c:h val="0.0385"/>
        </c:manualLayout>
      </c:layout>
      <c:overlay val="0"/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Projected Employment for the Washington MSA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55"/>
          <c:w val="0.97675"/>
          <c:h val="0.8265"/>
        </c:manualLayout>
      </c:layout>
      <c:lineChart>
        <c:grouping val="standard"/>
        <c:varyColors val="0"/>
        <c:ser>
          <c:idx val="0"/>
          <c:order val="0"/>
          <c:tx>
            <c:v>Round 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'Calculations&amp;Graphs'!$BA$2:$BA$8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'Calculations&amp;Graphs'!$BB$2:$BB$8</c:f>
              <c:numCache>
                <c:ptCount val="7"/>
                <c:pt idx="0">
                  <c:v>2853.4</c:v>
                </c:pt>
                <c:pt idx="1">
                  <c:v>3052.1</c:v>
                </c:pt>
                <c:pt idx="2">
                  <c:v>3406.9</c:v>
                </c:pt>
                <c:pt idx="3">
                  <c:v>3592.2999999999997</c:v>
                </c:pt>
                <c:pt idx="4">
                  <c:v>3784.7</c:v>
                </c:pt>
                <c:pt idx="5">
                  <c:v>3982.8</c:v>
                </c:pt>
                <c:pt idx="6">
                  <c:v>4175.7</c:v>
                </c:pt>
              </c:numCache>
            </c:numRef>
          </c:val>
          <c:smooth val="0"/>
        </c:ser>
        <c:ser>
          <c:idx val="1"/>
          <c:order val="1"/>
          <c:tx>
            <c:v>Round 6.3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'Calculations&amp;Graphs'!$BA$2:$BA$8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'Calculations&amp;Graphs'!$BC$2:$BC$8</c:f>
              <c:numCache>
                <c:ptCount val="7"/>
                <c:pt idx="0">
                  <c:v>2823.8</c:v>
                </c:pt>
                <c:pt idx="1">
                  <c:v>3078.3</c:v>
                </c:pt>
                <c:pt idx="2">
                  <c:v>3375.2</c:v>
                </c:pt>
                <c:pt idx="3">
                  <c:v>3582.1</c:v>
                </c:pt>
                <c:pt idx="4">
                  <c:v>3786.7</c:v>
                </c:pt>
                <c:pt idx="5">
                  <c:v>3990.6</c:v>
                </c:pt>
                <c:pt idx="6">
                  <c:v>4131.7</c:v>
                </c:pt>
              </c:numCache>
            </c:numRef>
          </c:val>
          <c:smooth val="0"/>
        </c:ser>
        <c:marker val="1"/>
        <c:axId val="3089293"/>
        <c:axId val="27803638"/>
      </c:line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  <c:min val="2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089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"/>
          <c:y val="0.90875"/>
          <c:w val="0.29625"/>
          <c:h val="0.03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Ratios of Projected Change, 2000 to 2030 for the Washington MSA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05"/>
          <c:w val="0.977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v>Rnd 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'Calculations&amp;Graphs'!$CD$3:$CD$5</c:f>
              <c:strCache>
                <c:ptCount val="3"/>
                <c:pt idx="0">
                  <c:v>Emp to Pop</c:v>
                </c:pt>
                <c:pt idx="1">
                  <c:v>Pop to HHs</c:v>
                </c:pt>
                <c:pt idx="2">
                  <c:v>HHs to Emp</c:v>
                </c:pt>
              </c:strCache>
            </c:strRef>
          </c:cat>
          <c:val>
            <c:numRef>
              <c:f>'Calculations&amp;Graphs'!$CE$3:$CE$5</c:f>
              <c:numCache>
                <c:ptCount val="3"/>
                <c:pt idx="0">
                  <c:v>1.8442108447402261</c:v>
                </c:pt>
                <c:pt idx="1">
                  <c:v>2.638940314017674</c:v>
                </c:pt>
                <c:pt idx="2">
                  <c:v>0.6988452277393473</c:v>
                </c:pt>
              </c:numCache>
            </c:numRef>
          </c:val>
        </c:ser>
        <c:ser>
          <c:idx val="1"/>
          <c:order val="1"/>
          <c:tx>
            <c:v>Rnd 6.3</c:v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'Calculations&amp;Graphs'!$CD$3:$CD$5</c:f>
              <c:strCache>
                <c:ptCount val="3"/>
                <c:pt idx="0">
                  <c:v>Emp to Pop</c:v>
                </c:pt>
                <c:pt idx="1">
                  <c:v>Pop to HHs</c:v>
                </c:pt>
                <c:pt idx="2">
                  <c:v>HHs to Emp</c:v>
                </c:pt>
              </c:strCache>
            </c:strRef>
          </c:cat>
          <c:val>
            <c:numRef>
              <c:f>'Calculations&amp;Graphs'!$CF$3:$CF$5</c:f>
              <c:numCache>
                <c:ptCount val="3"/>
                <c:pt idx="0">
                  <c:v>1.1848765196115914</c:v>
                </c:pt>
                <c:pt idx="1">
                  <c:v>2.418005929162116</c:v>
                </c:pt>
                <c:pt idx="2">
                  <c:v>0.49002217294900224</c:v>
                </c:pt>
              </c:numCache>
            </c:numRef>
          </c:val>
        </c:ser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crossAx val="48906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205"/>
          <c:y val="0.947"/>
          <c:w val="0.1785"/>
          <c:h val="0.038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Projected Change, 2000 to 2030 for the Washington MSA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025"/>
          <c:w val="0.977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v>Rnd 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'Calculations&amp;Graphs'!$BZ$3:$BZ$5</c:f>
              <c:strCache>
                <c:ptCount val="3"/>
                <c:pt idx="0">
                  <c:v>Emp</c:v>
                </c:pt>
                <c:pt idx="1">
                  <c:v>Pop</c:v>
                </c:pt>
                <c:pt idx="2">
                  <c:v>HHs</c:v>
                </c:pt>
              </c:strCache>
            </c:strRef>
          </c:cat>
          <c:val>
            <c:numRef>
              <c:f>'Calculations&amp;Graphs'!$CA$3:$CA$5</c:f>
              <c:numCache>
                <c:ptCount val="3"/>
                <c:pt idx="0">
                  <c:v>1322.2999999999997</c:v>
                </c:pt>
                <c:pt idx="1">
                  <c:v>2438.6000000000004</c:v>
                </c:pt>
                <c:pt idx="2">
                  <c:v>924.0830446397388</c:v>
                </c:pt>
              </c:numCache>
            </c:numRef>
          </c:val>
        </c:ser>
        <c:ser>
          <c:idx val="1"/>
          <c:order val="1"/>
          <c:tx>
            <c:v>Rnd 6.3</c:v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'Calculations&amp;Graphs'!$BZ$3:$BZ$5</c:f>
              <c:strCache>
                <c:ptCount val="3"/>
                <c:pt idx="0">
                  <c:v>Emp</c:v>
                </c:pt>
                <c:pt idx="1">
                  <c:v>Pop</c:v>
                </c:pt>
                <c:pt idx="2">
                  <c:v>HHs</c:v>
                </c:pt>
              </c:strCache>
            </c:strRef>
          </c:cat>
          <c:val>
            <c:numRef>
              <c:f>'Calculations&amp;Graphs'!$CB$3:$CB$5</c:f>
              <c:numCache>
                <c:ptCount val="3"/>
                <c:pt idx="0">
                  <c:v>1307.8999999999996</c:v>
                </c:pt>
                <c:pt idx="1">
                  <c:v>1549.6999999999998</c:v>
                </c:pt>
                <c:pt idx="2">
                  <c:v>640.8999999999999</c:v>
                </c:pt>
              </c:numCache>
            </c:numRef>
          </c:val>
        </c:ser>
        <c:axId val="1975265"/>
        <c:axId val="17777386"/>
      </c:bar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975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2725"/>
          <c:y val="0.952"/>
          <c:w val="0.1785"/>
          <c:h val="0.038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Employment Ratio for the Washington MSA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05"/>
          <c:w val="0.88125"/>
          <c:h val="0.8245"/>
        </c:manualLayout>
      </c:layout>
      <c:lineChart>
        <c:grouping val="standard"/>
        <c:varyColors val="0"/>
        <c:ser>
          <c:idx val="0"/>
          <c:order val="0"/>
          <c:tx>
            <c:v>RND 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'Calculations&amp;Graphs'!$CO$2:$CO$32</c:f>
              <c:numCache>
                <c:ptCount val="31"/>
                <c:pt idx="0">
                  <c:v>0.7847</c:v>
                </c:pt>
                <c:pt idx="1">
                  <c:v>0.7871249658219122</c:v>
                </c:pt>
                <c:pt idx="2">
                  <c:v>0.7895574255386089</c:v>
                </c:pt>
                <c:pt idx="3">
                  <c:v>0.791997402308544</c:v>
                </c:pt>
                <c:pt idx="4">
                  <c:v>0.7944449193617381</c:v>
                </c:pt>
                <c:pt idx="5">
                  <c:v>0.7969</c:v>
                </c:pt>
                <c:pt idx="6">
                  <c:v>0.7993054345412528</c:v>
                </c:pt>
                <c:pt idx="7">
                  <c:v>0.8017181298621922</c:v>
                </c:pt>
                <c:pt idx="8">
                  <c:v>0.8041381078794076</c:v>
                </c:pt>
                <c:pt idx="9">
                  <c:v>0.806565390575644</c:v>
                </c:pt>
                <c:pt idx="10">
                  <c:v>0.809</c:v>
                </c:pt>
                <c:pt idx="11">
                  <c:v>0.8096987917629204</c:v>
                </c:pt>
                <c:pt idx="12">
                  <c:v>0.810398187122785</c:v>
                </c:pt>
                <c:pt idx="13">
                  <c:v>0.8110981866009642</c:v>
                </c:pt>
                <c:pt idx="14">
                  <c:v>0.8117987907192786</c:v>
                </c:pt>
                <c:pt idx="15">
                  <c:v>0.8125</c:v>
                </c:pt>
                <c:pt idx="16">
                  <c:v>0.8114774293277405</c:v>
                </c:pt>
                <c:pt idx="17">
                  <c:v>0.8104561456102868</c:v>
                </c:pt>
                <c:pt idx="18">
                  <c:v>0.8094361472279439</c:v>
                </c:pt>
                <c:pt idx="19">
                  <c:v>0.8084174325630552</c:v>
                </c:pt>
                <c:pt idx="20">
                  <c:v>0.8074</c:v>
                </c:pt>
                <c:pt idx="21">
                  <c:v>0.8075599366242474</c:v>
                </c:pt>
                <c:pt idx="22">
                  <c:v>0.8077199049300947</c:v>
                </c:pt>
                <c:pt idx="23">
                  <c:v>0.8078799049238177</c:v>
                </c:pt>
                <c:pt idx="24">
                  <c:v>0.8080399366116934</c:v>
                </c:pt>
                <c:pt idx="25">
                  <c:v>0.8082</c:v>
                </c:pt>
                <c:pt idx="26">
                  <c:v>0.8083399515223446</c:v>
                </c:pt>
                <c:pt idx="27">
                  <c:v>0.80847992727932</c:v>
                </c:pt>
                <c:pt idx="28">
                  <c:v>0.8086199272751228</c:v>
                </c:pt>
                <c:pt idx="29">
                  <c:v>0.8087599515139502</c:v>
                </c:pt>
                <c:pt idx="30">
                  <c:v>0.8089</c:v>
                </c:pt>
              </c:numCache>
            </c:numRef>
          </c:val>
          <c:smooth val="0"/>
        </c:ser>
        <c:ser>
          <c:idx val="1"/>
          <c:order val="1"/>
          <c:tx>
            <c:v>RND 6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'Calculations&amp;Graphs'!$CP$2:$CP$22</c:f>
              <c:numCache>
                <c:ptCount val="21"/>
                <c:pt idx="0">
                  <c:v>0.77</c:v>
                </c:pt>
                <c:pt idx="1">
                  <c:v>0.776</c:v>
                </c:pt>
                <c:pt idx="2">
                  <c:v>0.782</c:v>
                </c:pt>
                <c:pt idx="3">
                  <c:v>0.788</c:v>
                </c:pt>
                <c:pt idx="4">
                  <c:v>0.794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</c:numCache>
            </c:numRef>
          </c:val>
          <c:smooth val="0"/>
        </c:ser>
        <c:marker val="1"/>
        <c:axId val="25778747"/>
        <c:axId val="30682132"/>
      </c:line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778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"/>
          <c:y val="0.95425"/>
          <c:w val="0.20625"/>
          <c:h val="0.0385"/>
        </c:manualLayout>
      </c:layout>
      <c:overlay val="0"/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Elderly Ratio for the Washington MSA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05"/>
          <c:w val="0.88125"/>
          <c:h val="0.8245"/>
        </c:manualLayout>
      </c:layout>
      <c:lineChart>
        <c:grouping val="standard"/>
        <c:varyColors val="0"/>
        <c:ser>
          <c:idx val="0"/>
          <c:order val="0"/>
          <c:tx>
            <c:v>RND 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'Calculations&amp;Graphs'!$CL$2:$CL$32</c:f>
              <c:numCache>
                <c:ptCount val="31"/>
                <c:pt idx="0">
                  <c:v>0.13048489008118738</c:v>
                </c:pt>
                <c:pt idx="1">
                  <c:v>0.1301899439280937</c:v>
                </c:pt>
                <c:pt idx="2">
                  <c:v>0.1298956644670068</c:v>
                </c:pt>
                <c:pt idx="3">
                  <c:v>0.12960205019094576</c:v>
                </c:pt>
                <c:pt idx="4">
                  <c:v>0.129309099596336</c:v>
                </c:pt>
                <c:pt idx="5">
                  <c:v>0.12901681118300154</c:v>
                </c:pt>
                <c:pt idx="6">
                  <c:v>0.13021072580539442</c:v>
                </c:pt>
                <c:pt idx="7">
                  <c:v>0.1314156888494038</c:v>
                </c:pt>
                <c:pt idx="8">
                  <c:v>0.13263180255652826</c:v>
                </c:pt>
                <c:pt idx="9">
                  <c:v>0.13385917011440376</c:v>
                </c:pt>
                <c:pt idx="10">
                  <c:v>0.13509789566555913</c:v>
                </c:pt>
                <c:pt idx="11">
                  <c:v>0.13855617649904683</c:v>
                </c:pt>
                <c:pt idx="12">
                  <c:v>0.14210298355468143</c:v>
                </c:pt>
                <c:pt idx="13">
                  <c:v>0.14574058295611944</c:v>
                </c:pt>
                <c:pt idx="14">
                  <c:v>0.14947129883600388</c:v>
                </c:pt>
                <c:pt idx="15">
                  <c:v>0.15329751482089762</c:v>
                </c:pt>
                <c:pt idx="16">
                  <c:v>0.15768179602027213</c:v>
                </c:pt>
                <c:pt idx="17">
                  <c:v>0.16219146686903296</c:v>
                </c:pt>
                <c:pt idx="18">
                  <c:v>0.16683011348847535</c:v>
                </c:pt>
                <c:pt idx="19">
                  <c:v>0.17160142456231495</c:v>
                </c:pt>
                <c:pt idx="20">
                  <c:v>0.17650919426995457</c:v>
                </c:pt>
                <c:pt idx="21">
                  <c:v>0.18143020503210436</c:v>
                </c:pt>
                <c:pt idx="22">
                  <c:v>0.18648841174612144</c:v>
                </c:pt>
                <c:pt idx="23">
                  <c:v>0.19168763938417485</c:v>
                </c:pt>
                <c:pt idx="24">
                  <c:v>0.1970318195572367</c:v>
                </c:pt>
                <c:pt idx="25">
                  <c:v>0.2025249934881323</c:v>
                </c:pt>
                <c:pt idx="26">
                  <c:v>0.20594418323396868</c:v>
                </c:pt>
                <c:pt idx="27">
                  <c:v>0.20942109848971213</c:v>
                </c:pt>
                <c:pt idx="28">
                  <c:v>0.2129567138238253</c:v>
                </c:pt>
                <c:pt idx="29">
                  <c:v>0.21655202025821907</c:v>
                </c:pt>
                <c:pt idx="30">
                  <c:v>0.22020802554603272</c:v>
                </c:pt>
              </c:numCache>
            </c:numRef>
          </c:val>
          <c:smooth val="0"/>
        </c:ser>
        <c:ser>
          <c:idx val="1"/>
          <c:order val="1"/>
          <c:tx>
            <c:v>RND 6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'Calculations&amp;Graphs'!$CM$2:$CM$22</c:f>
              <c:numCache>
                <c:ptCount val="21"/>
                <c:pt idx="0">
                  <c:v>0.087</c:v>
                </c:pt>
                <c:pt idx="1">
                  <c:v>0.08864</c:v>
                </c:pt>
                <c:pt idx="2">
                  <c:v>0.09028</c:v>
                </c:pt>
                <c:pt idx="3">
                  <c:v>0.09192</c:v>
                </c:pt>
                <c:pt idx="4">
                  <c:v>0.09356</c:v>
                </c:pt>
                <c:pt idx="5">
                  <c:v>0.0952</c:v>
                </c:pt>
                <c:pt idx="6">
                  <c:v>0.09678</c:v>
                </c:pt>
                <c:pt idx="7">
                  <c:v>0.09836</c:v>
                </c:pt>
                <c:pt idx="8">
                  <c:v>0.09994</c:v>
                </c:pt>
                <c:pt idx="9">
                  <c:v>0.10152</c:v>
                </c:pt>
                <c:pt idx="10">
                  <c:v>0.1031</c:v>
                </c:pt>
                <c:pt idx="11">
                  <c:v>0.10522</c:v>
                </c:pt>
                <c:pt idx="12">
                  <c:v>0.10733999999999999</c:v>
                </c:pt>
                <c:pt idx="13">
                  <c:v>0.10945999999999999</c:v>
                </c:pt>
                <c:pt idx="14">
                  <c:v>0.11157999999999998</c:v>
                </c:pt>
                <c:pt idx="15">
                  <c:v>0.1137</c:v>
                </c:pt>
                <c:pt idx="16">
                  <c:v>0.11562</c:v>
                </c:pt>
                <c:pt idx="17">
                  <c:v>0.11754</c:v>
                </c:pt>
                <c:pt idx="18">
                  <c:v>0.11946000000000001</c:v>
                </c:pt>
                <c:pt idx="19">
                  <c:v>0.12138000000000002</c:v>
                </c:pt>
                <c:pt idx="20">
                  <c:v>0.1233</c:v>
                </c:pt>
              </c:numCache>
            </c:numRef>
          </c:val>
          <c:smooth val="0"/>
        </c:ser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4734"/>
        <c:crosses val="autoZero"/>
        <c:auto val="1"/>
        <c:lblOffset val="100"/>
        <c:noMultiLvlLbl val="0"/>
      </c:catAx>
      <c:valAx>
        <c:axId val="222473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7703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"/>
          <c:y val="0.95425"/>
          <c:w val="0.20625"/>
          <c:h val="0.0385"/>
        </c:manualLayout>
      </c:layout>
      <c:overlay val="0"/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Youth Ratio for the Washington MSA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05"/>
          <c:w val="0.88125"/>
          <c:h val="0.8245"/>
        </c:manualLayout>
      </c:layout>
      <c:lineChart>
        <c:grouping val="standard"/>
        <c:varyColors val="0"/>
        <c:ser>
          <c:idx val="0"/>
          <c:order val="0"/>
          <c:tx>
            <c:v>RND 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'Calculations&amp;Graphs'!$CH$2:$CH$32</c:f>
              <c:numCache>
                <c:ptCount val="31"/>
                <c:pt idx="0">
                  <c:v>0.3305806883005621</c:v>
                </c:pt>
                <c:pt idx="1">
                  <c:v>0.32825385135107626</c:v>
                </c:pt>
                <c:pt idx="2">
                  <c:v>0.3259433921586135</c:v>
                </c:pt>
                <c:pt idx="3">
                  <c:v>0.3236491954461127</c:v>
                </c:pt>
                <c:pt idx="4">
                  <c:v>0.321371146747906</c:v>
                </c:pt>
                <c:pt idx="5">
                  <c:v>0.3191091324040077</c:v>
                </c:pt>
                <c:pt idx="6">
                  <c:v>0.31746211703253474</c:v>
                </c:pt>
                <c:pt idx="7">
                  <c:v>0.31582360238811225</c:v>
                </c:pt>
                <c:pt idx="8">
                  <c:v>0.3141935445960068</c:v>
                </c:pt>
                <c:pt idx="9">
                  <c:v>0.31257190000793517</c:v>
                </c:pt>
                <c:pt idx="10">
                  <c:v>0.31095862520089584</c:v>
                </c:pt>
                <c:pt idx="11">
                  <c:v>0.31285024906827813</c:v>
                </c:pt>
                <c:pt idx="12">
                  <c:v>0.31475338006415166</c:v>
                </c:pt>
                <c:pt idx="13">
                  <c:v>0.31666808818869374</c:v>
                </c:pt>
                <c:pt idx="14">
                  <c:v>0.31859444386790686</c:v>
                </c:pt>
                <c:pt idx="15">
                  <c:v>0.3205325179562088</c:v>
                </c:pt>
                <c:pt idx="16">
                  <c:v>0.32360489917691854</c:v>
                </c:pt>
                <c:pt idx="17">
                  <c:v>0.32670672991003835</c:v>
                </c:pt>
                <c:pt idx="18">
                  <c:v>0.3298382924362225</c:v>
                </c:pt>
                <c:pt idx="19">
                  <c:v>0.3329998717418531</c:v>
                </c:pt>
                <c:pt idx="20">
                  <c:v>0.3361917555449752</c:v>
                </c:pt>
                <c:pt idx="21">
                  <c:v>0.3392527688891418</c:v>
                </c:pt>
                <c:pt idx="22">
                  <c:v>0.3423416526451749</c:v>
                </c:pt>
                <c:pt idx="23">
                  <c:v>0.3454586605721308</c:v>
                </c:pt>
                <c:pt idx="24">
                  <c:v>0.3486040487395326</c:v>
                </c:pt>
                <c:pt idx="25">
                  <c:v>0.3517780755484067</c:v>
                </c:pt>
                <c:pt idx="26">
                  <c:v>0.3536286030525611</c:v>
                </c:pt>
                <c:pt idx="27">
                  <c:v>0.35548886525106305</c:v>
                </c:pt>
                <c:pt idx="28">
                  <c:v>0.35735891335324277</c:v>
                </c:pt>
                <c:pt idx="29">
                  <c:v>0.359238798837817</c:v>
                </c:pt>
                <c:pt idx="30">
                  <c:v>0.3611285734543061</c:v>
                </c:pt>
              </c:numCache>
            </c:numRef>
          </c:val>
          <c:smooth val="0"/>
        </c:ser>
        <c:ser>
          <c:idx val="1"/>
          <c:order val="1"/>
          <c:tx>
            <c:v>RND 6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'Calculations&amp;Graphs'!$CI$2:$CI$22</c:f>
              <c:numCache>
                <c:ptCount val="21"/>
                <c:pt idx="0">
                  <c:v>0.208</c:v>
                </c:pt>
                <c:pt idx="1">
                  <c:v>0.20598</c:v>
                </c:pt>
                <c:pt idx="2">
                  <c:v>0.20396</c:v>
                </c:pt>
                <c:pt idx="3">
                  <c:v>0.20194</c:v>
                </c:pt>
                <c:pt idx="4">
                  <c:v>0.19992000000000001</c:v>
                </c:pt>
                <c:pt idx="5">
                  <c:v>0.1979</c:v>
                </c:pt>
                <c:pt idx="6">
                  <c:v>0.19646</c:v>
                </c:pt>
                <c:pt idx="7">
                  <c:v>0.19502</c:v>
                </c:pt>
                <c:pt idx="8">
                  <c:v>0.19358</c:v>
                </c:pt>
                <c:pt idx="9">
                  <c:v>0.19214</c:v>
                </c:pt>
                <c:pt idx="10">
                  <c:v>0.1907</c:v>
                </c:pt>
                <c:pt idx="11">
                  <c:v>0.19024000000000002</c:v>
                </c:pt>
                <c:pt idx="12">
                  <c:v>0.18978000000000003</c:v>
                </c:pt>
                <c:pt idx="13">
                  <c:v>0.18932000000000004</c:v>
                </c:pt>
                <c:pt idx="14">
                  <c:v>0.18886000000000006</c:v>
                </c:pt>
                <c:pt idx="15">
                  <c:v>0.1884</c:v>
                </c:pt>
                <c:pt idx="16">
                  <c:v>0.18908</c:v>
                </c:pt>
                <c:pt idx="17">
                  <c:v>0.18975999999999998</c:v>
                </c:pt>
                <c:pt idx="18">
                  <c:v>0.19043999999999997</c:v>
                </c:pt>
                <c:pt idx="19">
                  <c:v>0.19111999999999996</c:v>
                </c:pt>
                <c:pt idx="20">
                  <c:v>0.1918</c:v>
                </c:pt>
              </c:numCache>
            </c:numRef>
          </c:val>
          <c:smooth val="0"/>
        </c:ser>
        <c:marker val="1"/>
        <c:axId val="20022607"/>
        <c:axId val="45985736"/>
      </c:line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0022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6"/>
          <c:y val="0.95425"/>
          <c:w val="0.20625"/>
          <c:h val="0.0385"/>
        </c:manualLayout>
      </c:layout>
      <c:overlay val="0"/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Net Commutation as a Percent of Employed Persons (16+)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05"/>
          <c:w val="0.88125"/>
          <c:h val="0.8245"/>
        </c:manualLayout>
      </c:layout>
      <c:lineChart>
        <c:grouping val="standard"/>
        <c:varyColors val="0"/>
        <c:ser>
          <c:idx val="0"/>
          <c:order val="0"/>
          <c:tx>
            <c:v>RND 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'Calculations&amp;Graphs'!$AV$2:$AV$32</c:f>
              <c:numCache>
                <c:ptCount val="31"/>
                <c:pt idx="0">
                  <c:v>0.06121840280366862</c:v>
                </c:pt>
                <c:pt idx="1">
                  <c:v>0.06120727592782748</c:v>
                </c:pt>
                <c:pt idx="2">
                  <c:v>0.06118978075202426</c:v>
                </c:pt>
                <c:pt idx="3">
                  <c:v>0.06119630787121157</c:v>
                </c:pt>
                <c:pt idx="4">
                  <c:v>0.06119615521537914</c:v>
                </c:pt>
                <c:pt idx="5">
                  <c:v>0.061205995120250954</c:v>
                </c:pt>
                <c:pt idx="6">
                  <c:v>0.06120777891504605</c:v>
                </c:pt>
                <c:pt idx="7">
                  <c:v>0.061197916666666664</c:v>
                </c:pt>
                <c:pt idx="8">
                  <c:v>0.06118515614791586</c:v>
                </c:pt>
                <c:pt idx="9">
                  <c:v>0.06119775022369935</c:v>
                </c:pt>
                <c:pt idx="10">
                  <c:v>0.06120218579234973</c:v>
                </c:pt>
                <c:pt idx="11">
                  <c:v>0.06118983668302924</c:v>
                </c:pt>
                <c:pt idx="12">
                  <c:v>0.06121326898405523</c:v>
                </c:pt>
                <c:pt idx="13">
                  <c:v>0.06118500604594922</c:v>
                </c:pt>
                <c:pt idx="14">
                  <c:v>0.061185411243754304</c:v>
                </c:pt>
                <c:pt idx="15">
                  <c:v>0.06121179815209666</c:v>
                </c:pt>
                <c:pt idx="16">
                  <c:v>0.0612065427683649</c:v>
                </c:pt>
                <c:pt idx="17">
                  <c:v>0.06120909723833836</c:v>
                </c:pt>
                <c:pt idx="18">
                  <c:v>0.06120457024745937</c:v>
                </c:pt>
                <c:pt idx="19">
                  <c:v>0.061189705130390314</c:v>
                </c:pt>
                <c:pt idx="20">
                  <c:v>0.061192939060040474</c:v>
                </c:pt>
                <c:pt idx="21">
                  <c:v>0.06120632094369019</c:v>
                </c:pt>
                <c:pt idx="22">
                  <c:v>0.06119357770372614</c:v>
                </c:pt>
                <c:pt idx="23">
                  <c:v>0.06120167929774821</c:v>
                </c:pt>
                <c:pt idx="24">
                  <c:v>0.06120301157676013</c:v>
                </c:pt>
                <c:pt idx="25">
                  <c:v>0.06119450825364602</c:v>
                </c:pt>
                <c:pt idx="26">
                  <c:v>0.06118941216913029</c:v>
                </c:pt>
                <c:pt idx="27">
                  <c:v>0.06118922315607572</c:v>
                </c:pt>
                <c:pt idx="28">
                  <c:v>0.06120703064240161</c:v>
                </c:pt>
                <c:pt idx="29">
                  <c:v>0.061189394522727855</c:v>
                </c:pt>
                <c:pt idx="30">
                  <c:v>0.06119433404667278</c:v>
                </c:pt>
              </c:numCache>
            </c:numRef>
          </c:val>
          <c:smooth val="0"/>
        </c:ser>
        <c:ser>
          <c:idx val="1"/>
          <c:order val="1"/>
          <c:tx>
            <c:v>RND 6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'Calculations&amp;Graphs'!$AW$2:$AW$22</c:f>
              <c:numCache>
                <c:ptCount val="21"/>
                <c:pt idx="0">
                  <c:v>0.069</c:v>
                </c:pt>
                <c:pt idx="1">
                  <c:v>0.06960000000000001</c:v>
                </c:pt>
                <c:pt idx="2">
                  <c:v>0.07020000000000001</c:v>
                </c:pt>
                <c:pt idx="3">
                  <c:v>0.07080000000000002</c:v>
                </c:pt>
                <c:pt idx="4">
                  <c:v>0.07140000000000002</c:v>
                </c:pt>
                <c:pt idx="5">
                  <c:v>0.072</c:v>
                </c:pt>
                <c:pt idx="6">
                  <c:v>0.0726</c:v>
                </c:pt>
                <c:pt idx="7">
                  <c:v>0.0732</c:v>
                </c:pt>
                <c:pt idx="8">
                  <c:v>0.0738</c:v>
                </c:pt>
                <c:pt idx="9">
                  <c:v>0.07440000000000001</c:v>
                </c:pt>
                <c:pt idx="10">
                  <c:v>0.075</c:v>
                </c:pt>
                <c:pt idx="11">
                  <c:v>0.0754</c:v>
                </c:pt>
                <c:pt idx="12">
                  <c:v>0.07579999999999999</c:v>
                </c:pt>
                <c:pt idx="13">
                  <c:v>0.07619999999999999</c:v>
                </c:pt>
                <c:pt idx="14">
                  <c:v>0.07659999999999999</c:v>
                </c:pt>
                <c:pt idx="15">
                  <c:v>0.077</c:v>
                </c:pt>
                <c:pt idx="16">
                  <c:v>0.0772</c:v>
                </c:pt>
                <c:pt idx="17">
                  <c:v>0.07740000000000001</c:v>
                </c:pt>
                <c:pt idx="18">
                  <c:v>0.07760000000000002</c:v>
                </c:pt>
                <c:pt idx="19">
                  <c:v>0.07780000000000002</c:v>
                </c:pt>
                <c:pt idx="20">
                  <c:v>0.078</c:v>
                </c:pt>
              </c:numCache>
            </c:numRef>
          </c:val>
          <c:smooth val="0"/>
        </c:ser>
        <c:marker val="1"/>
        <c:axId val="11218441"/>
        <c:axId val="33857106"/>
      </c:line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18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275"/>
          <c:y val="0.95425"/>
          <c:w val="0.20625"/>
          <c:h val="0.0385"/>
        </c:manualLayout>
      </c:layout>
      <c:overlay val="0"/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Net Commutation as a Percent of Employed Persons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05"/>
          <c:w val="0.977"/>
          <c:h val="0.8245"/>
        </c:manualLayout>
      </c:layout>
      <c:lineChart>
        <c:grouping val="standard"/>
        <c:varyColors val="0"/>
        <c:ser>
          <c:idx val="0"/>
          <c:order val="0"/>
          <c:tx>
            <c:v>Intermediate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'Calculations&amp;Graphs'!$AV$2:$AV$32</c:f>
              <c:numCache>
                <c:ptCount val="31"/>
                <c:pt idx="0">
                  <c:v>0.06121840280366862</c:v>
                </c:pt>
                <c:pt idx="1">
                  <c:v>0.06120727592782748</c:v>
                </c:pt>
                <c:pt idx="2">
                  <c:v>0.06118978075202426</c:v>
                </c:pt>
                <c:pt idx="3">
                  <c:v>0.06119630787121157</c:v>
                </c:pt>
                <c:pt idx="4">
                  <c:v>0.06119615521537914</c:v>
                </c:pt>
                <c:pt idx="5">
                  <c:v>0.061205995120250954</c:v>
                </c:pt>
                <c:pt idx="6">
                  <c:v>0.06120777891504605</c:v>
                </c:pt>
                <c:pt idx="7">
                  <c:v>0.061197916666666664</c:v>
                </c:pt>
                <c:pt idx="8">
                  <c:v>0.06118515614791586</c:v>
                </c:pt>
                <c:pt idx="9">
                  <c:v>0.06119775022369935</c:v>
                </c:pt>
                <c:pt idx="10">
                  <c:v>0.06120218579234973</c:v>
                </c:pt>
                <c:pt idx="11">
                  <c:v>0.06118983668302924</c:v>
                </c:pt>
                <c:pt idx="12">
                  <c:v>0.06121326898405523</c:v>
                </c:pt>
                <c:pt idx="13">
                  <c:v>0.06118500604594922</c:v>
                </c:pt>
                <c:pt idx="14">
                  <c:v>0.061185411243754304</c:v>
                </c:pt>
                <c:pt idx="15">
                  <c:v>0.06121179815209666</c:v>
                </c:pt>
                <c:pt idx="16">
                  <c:v>0.0612065427683649</c:v>
                </c:pt>
                <c:pt idx="17">
                  <c:v>0.06120909723833836</c:v>
                </c:pt>
                <c:pt idx="18">
                  <c:v>0.06120457024745937</c:v>
                </c:pt>
                <c:pt idx="19">
                  <c:v>0.061189705130390314</c:v>
                </c:pt>
                <c:pt idx="20">
                  <c:v>0.061192939060040474</c:v>
                </c:pt>
                <c:pt idx="21">
                  <c:v>0.06120632094369019</c:v>
                </c:pt>
                <c:pt idx="22">
                  <c:v>0.06119357770372614</c:v>
                </c:pt>
                <c:pt idx="23">
                  <c:v>0.06120167929774821</c:v>
                </c:pt>
                <c:pt idx="24">
                  <c:v>0.06120301157676013</c:v>
                </c:pt>
                <c:pt idx="25">
                  <c:v>0.06119450825364602</c:v>
                </c:pt>
                <c:pt idx="26">
                  <c:v>0.06118941216913029</c:v>
                </c:pt>
                <c:pt idx="27">
                  <c:v>0.06118922315607572</c:v>
                </c:pt>
                <c:pt idx="28">
                  <c:v>0.06120703064240161</c:v>
                </c:pt>
                <c:pt idx="29">
                  <c:v>0.061189394522727855</c:v>
                </c:pt>
                <c:pt idx="30">
                  <c:v>0.06119433404667278</c:v>
                </c:pt>
              </c:numCache>
            </c:numRef>
          </c:val>
          <c:smooth val="0"/>
        </c:ser>
        <c:ser>
          <c:idx val="1"/>
          <c:order val="1"/>
          <c:tx>
            <c:v>Low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CalculationsLow!$AV$2:$AV$32</c:f>
              <c:numCache>
                <c:ptCount val="31"/>
                <c:pt idx="0">
                  <c:v>0.06121840280366862</c:v>
                </c:pt>
                <c:pt idx="1">
                  <c:v>0.06120727592782748</c:v>
                </c:pt>
                <c:pt idx="2">
                  <c:v>0.061200412918448605</c:v>
                </c:pt>
                <c:pt idx="3">
                  <c:v>0.06119620714806711</c:v>
                </c:pt>
                <c:pt idx="4">
                  <c:v>0.061185742432384026</c:v>
                </c:pt>
                <c:pt idx="5">
                  <c:v>0.061210139577400416</c:v>
                </c:pt>
                <c:pt idx="6">
                  <c:v>0.061204071071243746</c:v>
                </c:pt>
                <c:pt idx="7">
                  <c:v>0.06119200812732815</c:v>
                </c:pt>
                <c:pt idx="8">
                  <c:v>0.061193285690543456</c:v>
                </c:pt>
                <c:pt idx="9">
                  <c:v>0.061205180907637595</c:v>
                </c:pt>
                <c:pt idx="10">
                  <c:v>0.06119250207920159</c:v>
                </c:pt>
                <c:pt idx="11">
                  <c:v>0.061205662478129474</c:v>
                </c:pt>
                <c:pt idx="12">
                  <c:v>0.06119869830337114</c:v>
                </c:pt>
                <c:pt idx="13">
                  <c:v>0.06120527306967986</c:v>
                </c:pt>
                <c:pt idx="14">
                  <c:v>0.06121557987962702</c:v>
                </c:pt>
                <c:pt idx="15">
                  <c:v>0.061204251758653815</c:v>
                </c:pt>
                <c:pt idx="16">
                  <c:v>0.06119871873845016</c:v>
                </c:pt>
                <c:pt idx="17">
                  <c:v>0.06121449559255631</c:v>
                </c:pt>
                <c:pt idx="18">
                  <c:v>0.06120338261239886</c:v>
                </c:pt>
                <c:pt idx="19">
                  <c:v>0.06119055537080146</c:v>
                </c:pt>
                <c:pt idx="20">
                  <c:v>0.06121161127471603</c:v>
                </c:pt>
                <c:pt idx="21">
                  <c:v>0.06119643817605929</c:v>
                </c:pt>
                <c:pt idx="22">
                  <c:v>0.06119234427009035</c:v>
                </c:pt>
                <c:pt idx="23">
                  <c:v>0.061195530065629986</c:v>
                </c:pt>
                <c:pt idx="24">
                  <c:v>0.06120948291075945</c:v>
                </c:pt>
                <c:pt idx="25">
                  <c:v>0.061195820773215476</c:v>
                </c:pt>
                <c:pt idx="26">
                  <c:v>0.06120189926883975</c:v>
                </c:pt>
                <c:pt idx="27">
                  <c:v>0.0611931208491633</c:v>
                </c:pt>
                <c:pt idx="28">
                  <c:v>0.06118971989604389</c:v>
                </c:pt>
                <c:pt idx="29">
                  <c:v>0.06119162640901772</c:v>
                </c:pt>
                <c:pt idx="30">
                  <c:v>0.06121159919609532</c:v>
                </c:pt>
              </c:numCache>
            </c:numRef>
          </c:val>
          <c:smooth val="0"/>
        </c:ser>
        <c:ser>
          <c:idx val="2"/>
          <c:order val="2"/>
          <c:tx>
            <c:v>High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CalculationsHigh!$AV$2:$AV$32</c:f>
              <c:numCache>
                <c:ptCount val="31"/>
                <c:pt idx="0">
                  <c:v>0.06118362503708098</c:v>
                </c:pt>
                <c:pt idx="1">
                  <c:v>0.06120290330816647</c:v>
                </c:pt>
                <c:pt idx="2">
                  <c:v>0.06118406573252147</c:v>
                </c:pt>
                <c:pt idx="3">
                  <c:v>0.06119675238742444</c:v>
                </c:pt>
                <c:pt idx="4">
                  <c:v>0.061212375165863545</c:v>
                </c:pt>
                <c:pt idx="5">
                  <c:v>0.061209188194397114</c:v>
                </c:pt>
                <c:pt idx="6">
                  <c:v>0.061211597286873254</c:v>
                </c:pt>
                <c:pt idx="7">
                  <c:v>0.06118943445146655</c:v>
                </c:pt>
                <c:pt idx="8">
                  <c:v>0.06119935579625478</c:v>
                </c:pt>
                <c:pt idx="9">
                  <c:v>0.061184939091915844</c:v>
                </c:pt>
                <c:pt idx="10">
                  <c:v>0.061194565802860736</c:v>
                </c:pt>
                <c:pt idx="11">
                  <c:v>0.0612136424036616</c:v>
                </c:pt>
                <c:pt idx="12">
                  <c:v>0.06119303143995579</c:v>
                </c:pt>
                <c:pt idx="13">
                  <c:v>0.06121279825842858</c:v>
                </c:pt>
                <c:pt idx="14">
                  <c:v>0.061209522734965584</c:v>
                </c:pt>
                <c:pt idx="15">
                  <c:v>0.06118764581713144</c:v>
                </c:pt>
                <c:pt idx="16">
                  <c:v>0.06120105009844674</c:v>
                </c:pt>
                <c:pt idx="17">
                  <c:v>0.06120636287782952</c:v>
                </c:pt>
                <c:pt idx="18">
                  <c:v>0.06118881118881119</c:v>
                </c:pt>
                <c:pt idx="19">
                  <c:v>0.061196830692243534</c:v>
                </c:pt>
                <c:pt idx="20">
                  <c:v>0.06120355888310556</c:v>
                </c:pt>
                <c:pt idx="21">
                  <c:v>0.06120080726538849</c:v>
                </c:pt>
                <c:pt idx="22">
                  <c:v>0.061206254653760235</c:v>
                </c:pt>
                <c:pt idx="23">
                  <c:v>0.0612060546875</c:v>
                </c:pt>
                <c:pt idx="24">
                  <c:v>0.06120048019207682</c:v>
                </c:pt>
                <c:pt idx="25">
                  <c:v>0.06120762911906335</c:v>
                </c:pt>
                <c:pt idx="26">
                  <c:v>0.0612003341997772</c:v>
                </c:pt>
                <c:pt idx="27">
                  <c:v>0.06119794637763833</c:v>
                </c:pt>
                <c:pt idx="28">
                  <c:v>0.06119198761804357</c:v>
                </c:pt>
                <c:pt idx="29">
                  <c:v>0.06119794537157471</c:v>
                </c:pt>
                <c:pt idx="30">
                  <c:v>0.06120498675122713</c:v>
                </c:pt>
              </c:numCache>
            </c:numRef>
          </c:val>
          <c:smooth val="0"/>
        </c:ser>
        <c:marker val="1"/>
        <c:axId val="36278499"/>
        <c:axId val="58071036"/>
      </c:line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78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25"/>
          <c:y val="0.9375"/>
          <c:w val="0.39775"/>
          <c:h val="0.038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National BLS and BEA/W&amp;P Retail Sector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BLS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NationalDataInterm!$A$89:$A$98</c:f>
              <c:strCache>
                <c:ptCount val="10"/>
                <c:pt idx="0">
                  <c:v>1980-1985</c:v>
                </c:pt>
                <c:pt idx="1">
                  <c:v>1985-1990</c:v>
                </c:pt>
                <c:pt idx="2">
                  <c:v>1990-1995</c:v>
                </c:pt>
                <c:pt idx="3">
                  <c:v>1995-2000</c:v>
                </c:pt>
                <c:pt idx="4">
                  <c:v>2000-2005</c:v>
                </c:pt>
                <c:pt idx="5">
                  <c:v>2005-2010</c:v>
                </c:pt>
                <c:pt idx="6">
                  <c:v>2010-2015</c:v>
                </c:pt>
                <c:pt idx="7">
                  <c:v>2015-2020</c:v>
                </c:pt>
                <c:pt idx="8">
                  <c:v>2020-2025</c:v>
                </c:pt>
                <c:pt idx="9">
                  <c:v>2025-2030</c:v>
                </c:pt>
              </c:strCache>
            </c:strRef>
          </c:cat>
          <c:val>
            <c:numRef>
              <c:f>NationalDataInterm!$F$77:$F$86</c:f>
              <c:numCache>
                <c:ptCount val="10"/>
                <c:pt idx="0">
                  <c:v>0.15254034190765295</c:v>
                </c:pt>
                <c:pt idx="1">
                  <c:v>0.13216080402010041</c:v>
                </c:pt>
                <c:pt idx="2">
                  <c:v>0.08090872451035919</c:v>
                </c:pt>
                <c:pt idx="3">
                  <c:v>0.10147732099872564</c:v>
                </c:pt>
                <c:pt idx="4">
                  <c:v>0.044770107554527115</c:v>
                </c:pt>
                <c:pt idx="5">
                  <c:v>0.08277075523546261</c:v>
                </c:pt>
                <c:pt idx="6">
                  <c:v>0.056700603875587584</c:v>
                </c:pt>
                <c:pt idx="7">
                  <c:v>0.0544238376914963</c:v>
                </c:pt>
                <c:pt idx="8">
                  <c:v>0.05297739998482646</c:v>
                </c:pt>
                <c:pt idx="9">
                  <c:v>0.0515327180657467</c:v>
                </c:pt>
              </c:numCache>
            </c:numRef>
          </c:val>
          <c:smooth val="0"/>
        </c:ser>
        <c:ser>
          <c:idx val="1"/>
          <c:order val="1"/>
          <c:tx>
            <c:v>BEA/W&amp;P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NationalDataInterm!$A$89:$A$98</c:f>
              <c:strCache>
                <c:ptCount val="10"/>
                <c:pt idx="0">
                  <c:v>1980-1985</c:v>
                </c:pt>
                <c:pt idx="1">
                  <c:v>1985-1990</c:v>
                </c:pt>
                <c:pt idx="2">
                  <c:v>1990-1995</c:v>
                </c:pt>
                <c:pt idx="3">
                  <c:v>1995-2000</c:v>
                </c:pt>
                <c:pt idx="4">
                  <c:v>2000-2005</c:v>
                </c:pt>
                <c:pt idx="5">
                  <c:v>2005-2010</c:v>
                </c:pt>
                <c:pt idx="6">
                  <c:v>2010-2015</c:v>
                </c:pt>
                <c:pt idx="7">
                  <c:v>2015-2020</c:v>
                </c:pt>
                <c:pt idx="8">
                  <c:v>2020-2025</c:v>
                </c:pt>
                <c:pt idx="9">
                  <c:v>2025-2030</c:v>
                </c:pt>
              </c:strCache>
            </c:strRef>
          </c:cat>
          <c:val>
            <c:numRef>
              <c:f>NationalDataInterm!$F$89:$F$98</c:f>
              <c:numCache>
                <c:ptCount val="10"/>
                <c:pt idx="0">
                  <c:v>0.13296316798908503</c:v>
                </c:pt>
                <c:pt idx="1">
                  <c:v>0.131217808881738</c:v>
                </c:pt>
                <c:pt idx="2">
                  <c:v>0.09963731608229125</c:v>
                </c:pt>
                <c:pt idx="3">
                  <c:v>0.08490029477968541</c:v>
                </c:pt>
                <c:pt idx="4">
                  <c:v>0.051486326389664674</c:v>
                </c:pt>
                <c:pt idx="5">
                  <c:v>0.056451178149983815</c:v>
                </c:pt>
                <c:pt idx="6">
                  <c:v>0.0550018019739442</c:v>
                </c:pt>
                <c:pt idx="7">
                  <c:v>0.0535537306342216</c:v>
                </c:pt>
                <c:pt idx="8">
                  <c:v>0.052108486523155036</c:v>
                </c:pt>
                <c:pt idx="9">
                  <c:v>0.050664996750809224</c:v>
                </c:pt>
              </c:numCache>
            </c:numRef>
          </c:val>
          <c:smooth val="0"/>
        </c:ser>
        <c:marker val="1"/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2877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National BLS and BEA/W&amp;P Retail Sector Growth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05"/>
          <c:w val="0.977"/>
          <c:h val="0.8245"/>
        </c:manualLayout>
      </c:layout>
      <c:lineChart>
        <c:grouping val="standard"/>
        <c:varyColors val="0"/>
        <c:ser>
          <c:idx val="0"/>
          <c:order val="0"/>
          <c:tx>
            <c:v>BLS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NationalDataInterm!$A$89:$A$98</c:f>
              <c:strCache>
                <c:ptCount val="10"/>
                <c:pt idx="0">
                  <c:v>1980-1985</c:v>
                </c:pt>
                <c:pt idx="1">
                  <c:v>1985-1990</c:v>
                </c:pt>
                <c:pt idx="2">
                  <c:v>1990-1995</c:v>
                </c:pt>
                <c:pt idx="3">
                  <c:v>1995-2000</c:v>
                </c:pt>
                <c:pt idx="4">
                  <c:v>2000-2005</c:v>
                </c:pt>
                <c:pt idx="5">
                  <c:v>2005-2010</c:v>
                </c:pt>
                <c:pt idx="6">
                  <c:v>2010-2015</c:v>
                </c:pt>
                <c:pt idx="7">
                  <c:v>2015-2020</c:v>
                </c:pt>
                <c:pt idx="8">
                  <c:v>2020-2025</c:v>
                </c:pt>
                <c:pt idx="9">
                  <c:v>2025-2030</c:v>
                </c:pt>
              </c:strCache>
            </c:strRef>
          </c:cat>
          <c:val>
            <c:numRef>
              <c:f>NationalDataInterm!$F$77:$F$86</c:f>
              <c:numCache>
                <c:ptCount val="10"/>
                <c:pt idx="0">
                  <c:v>0.15254034190765295</c:v>
                </c:pt>
                <c:pt idx="1">
                  <c:v>0.13216080402010041</c:v>
                </c:pt>
                <c:pt idx="2">
                  <c:v>0.08090872451035919</c:v>
                </c:pt>
                <c:pt idx="3">
                  <c:v>0.10147732099872564</c:v>
                </c:pt>
                <c:pt idx="4">
                  <c:v>0.044770107554527115</c:v>
                </c:pt>
                <c:pt idx="5">
                  <c:v>0.08277075523546261</c:v>
                </c:pt>
                <c:pt idx="6">
                  <c:v>0.056700603875587584</c:v>
                </c:pt>
                <c:pt idx="7">
                  <c:v>0.0544238376914963</c:v>
                </c:pt>
                <c:pt idx="8">
                  <c:v>0.05297739998482646</c:v>
                </c:pt>
                <c:pt idx="9">
                  <c:v>0.0515327180657467</c:v>
                </c:pt>
              </c:numCache>
            </c:numRef>
          </c:val>
          <c:smooth val="0"/>
        </c:ser>
        <c:ser>
          <c:idx val="1"/>
          <c:order val="1"/>
          <c:tx>
            <c:v>BEA/W&amp;P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NationalDataInterm!$A$89:$A$98</c:f>
              <c:strCache>
                <c:ptCount val="10"/>
                <c:pt idx="0">
                  <c:v>1980-1985</c:v>
                </c:pt>
                <c:pt idx="1">
                  <c:v>1985-1990</c:v>
                </c:pt>
                <c:pt idx="2">
                  <c:v>1990-1995</c:v>
                </c:pt>
                <c:pt idx="3">
                  <c:v>1995-2000</c:v>
                </c:pt>
                <c:pt idx="4">
                  <c:v>2000-2005</c:v>
                </c:pt>
                <c:pt idx="5">
                  <c:v>2005-2010</c:v>
                </c:pt>
                <c:pt idx="6">
                  <c:v>2010-2015</c:v>
                </c:pt>
                <c:pt idx="7">
                  <c:v>2015-2020</c:v>
                </c:pt>
                <c:pt idx="8">
                  <c:v>2020-2025</c:v>
                </c:pt>
                <c:pt idx="9">
                  <c:v>2025-2030</c:v>
                </c:pt>
              </c:strCache>
            </c:strRef>
          </c:cat>
          <c:val>
            <c:numRef>
              <c:f>NationalDataInterm!$F$89:$F$98</c:f>
              <c:numCache>
                <c:ptCount val="10"/>
                <c:pt idx="0">
                  <c:v>0.13296316798908503</c:v>
                </c:pt>
                <c:pt idx="1">
                  <c:v>0.131217808881738</c:v>
                </c:pt>
                <c:pt idx="2">
                  <c:v>0.09963731608229125</c:v>
                </c:pt>
                <c:pt idx="3">
                  <c:v>0.08490029477968541</c:v>
                </c:pt>
                <c:pt idx="4">
                  <c:v>0.051486326389664674</c:v>
                </c:pt>
                <c:pt idx="5">
                  <c:v>0.056451178149983815</c:v>
                </c:pt>
                <c:pt idx="6">
                  <c:v>0.0550018019739442</c:v>
                </c:pt>
                <c:pt idx="7">
                  <c:v>0.0535537306342216</c:v>
                </c:pt>
                <c:pt idx="8">
                  <c:v>0.052108486523155036</c:v>
                </c:pt>
                <c:pt idx="9">
                  <c:v>0.050664996750809224</c:v>
                </c:pt>
              </c:numCache>
            </c:numRef>
          </c:val>
          <c:smooth val="0"/>
        </c:ser>
        <c:ser>
          <c:idx val="2"/>
          <c:order val="2"/>
          <c:tx>
            <c:v>BLS_Old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NationalDataInterm!$F$101:$F$108</c:f>
              <c:numCache>
                <c:ptCount val="8"/>
                <c:pt idx="0">
                  <c:v>0.15254034190765295</c:v>
                </c:pt>
                <c:pt idx="1">
                  <c:v>0.13216080402010041</c:v>
                </c:pt>
                <c:pt idx="2">
                  <c:v>0.055500311392834116</c:v>
                </c:pt>
                <c:pt idx="3">
                  <c:v>0.06077324976510701</c:v>
                </c:pt>
                <c:pt idx="4">
                  <c:v>0.05230024766516117</c:v>
                </c:pt>
                <c:pt idx="5">
                  <c:v>0.04359026857331715</c:v>
                </c:pt>
                <c:pt idx="6">
                  <c:v>0.027993528687455967</c:v>
                </c:pt>
                <c:pt idx="7">
                  <c:v>0.01321514670883332</c:v>
                </c:pt>
              </c:numCache>
            </c:numRef>
          </c:val>
          <c:smooth val="0"/>
        </c:ser>
        <c:marker val="1"/>
        <c:axId val="55201015"/>
        <c:axId val="27047088"/>
      </c:line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201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8"/>
          <c:y val="0.95425"/>
          <c:w val="0.3125"/>
          <c:h val="0.0385"/>
        </c:manualLayout>
      </c:layout>
      <c:overlay val="0"/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Preliminary RND 7.0 Pop Projections for the WASHCOG Planning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575"/>
          <c:w val="0.977"/>
          <c:h val="0.82925"/>
        </c:manualLayout>
      </c:layout>
      <c:lineChart>
        <c:grouping val="standard"/>
        <c:varyColors val="0"/>
        <c:ser>
          <c:idx val="0"/>
          <c:order val="0"/>
          <c:tx>
            <c:v>Interim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'Calculations&amp;Graphs'!$CY$2:$CY$32</c:f>
              <c:numCache>
                <c:ptCount val="31"/>
                <c:pt idx="0">
                  <c:v>4544.9</c:v>
                </c:pt>
                <c:pt idx="1">
                  <c:v>4596.8</c:v>
                </c:pt>
                <c:pt idx="2">
                  <c:v>4536</c:v>
                </c:pt>
                <c:pt idx="3">
                  <c:v>4590.8</c:v>
                </c:pt>
                <c:pt idx="4">
                  <c:v>4662.2</c:v>
                </c:pt>
                <c:pt idx="5">
                  <c:v>4737.4</c:v>
                </c:pt>
                <c:pt idx="6">
                  <c:v>4822</c:v>
                </c:pt>
                <c:pt idx="7">
                  <c:v>4909.9</c:v>
                </c:pt>
                <c:pt idx="8">
                  <c:v>4999.9</c:v>
                </c:pt>
                <c:pt idx="9">
                  <c:v>5092.5</c:v>
                </c:pt>
                <c:pt idx="10">
                  <c:v>5193.5</c:v>
                </c:pt>
                <c:pt idx="11">
                  <c:v>5268.6</c:v>
                </c:pt>
                <c:pt idx="12">
                  <c:v>5341.2</c:v>
                </c:pt>
                <c:pt idx="13">
                  <c:v>5413.8</c:v>
                </c:pt>
                <c:pt idx="14">
                  <c:v>5487.1</c:v>
                </c:pt>
                <c:pt idx="15">
                  <c:v>5561.4</c:v>
                </c:pt>
                <c:pt idx="16">
                  <c:v>5645.2</c:v>
                </c:pt>
                <c:pt idx="17">
                  <c:v>5731</c:v>
                </c:pt>
                <c:pt idx="18">
                  <c:v>5818.8</c:v>
                </c:pt>
                <c:pt idx="19">
                  <c:v>5908.6</c:v>
                </c:pt>
                <c:pt idx="20">
                  <c:v>6000.6</c:v>
                </c:pt>
                <c:pt idx="21">
                  <c:v>6080.2</c:v>
                </c:pt>
                <c:pt idx="22">
                  <c:v>6160.5</c:v>
                </c:pt>
                <c:pt idx="23">
                  <c:v>6242</c:v>
                </c:pt>
                <c:pt idx="24">
                  <c:v>6325.5</c:v>
                </c:pt>
                <c:pt idx="25">
                  <c:v>6410.8</c:v>
                </c:pt>
                <c:pt idx="26">
                  <c:v>6461</c:v>
                </c:pt>
                <c:pt idx="27">
                  <c:v>6507.7</c:v>
                </c:pt>
                <c:pt idx="28">
                  <c:v>6555.1</c:v>
                </c:pt>
                <c:pt idx="29">
                  <c:v>6603.2</c:v>
                </c:pt>
                <c:pt idx="30">
                  <c:v>6634.8</c:v>
                </c:pt>
              </c:numCache>
            </c:numRef>
          </c:val>
          <c:smooth val="0"/>
        </c:ser>
        <c:ser>
          <c:idx val="1"/>
          <c:order val="1"/>
          <c:tx>
            <c:v>Low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'Calculations&amp;Graphs'!$CZ$2:$CZ$32</c:f>
              <c:numCache>
                <c:ptCount val="31"/>
                <c:pt idx="0">
                  <c:v>4544.9</c:v>
                </c:pt>
                <c:pt idx="1">
                  <c:v>4574.1</c:v>
                </c:pt>
                <c:pt idx="2">
                  <c:v>4500.5</c:v>
                </c:pt>
                <c:pt idx="3">
                  <c:v>4500.5</c:v>
                </c:pt>
                <c:pt idx="4">
                  <c:v>4532</c:v>
                </c:pt>
                <c:pt idx="5">
                  <c:v>4568</c:v>
                </c:pt>
                <c:pt idx="6">
                  <c:v>4633.6</c:v>
                </c:pt>
                <c:pt idx="7">
                  <c:v>4703</c:v>
                </c:pt>
                <c:pt idx="8">
                  <c:v>4773.5</c:v>
                </c:pt>
                <c:pt idx="9">
                  <c:v>4845.2</c:v>
                </c:pt>
                <c:pt idx="10">
                  <c:v>4923.9</c:v>
                </c:pt>
                <c:pt idx="11">
                  <c:v>4964.5</c:v>
                </c:pt>
                <c:pt idx="12">
                  <c:v>5011.7</c:v>
                </c:pt>
                <c:pt idx="13">
                  <c:v>5059</c:v>
                </c:pt>
                <c:pt idx="14">
                  <c:v>5105.6</c:v>
                </c:pt>
                <c:pt idx="15">
                  <c:v>5152.4</c:v>
                </c:pt>
                <c:pt idx="16">
                  <c:v>5206.8</c:v>
                </c:pt>
                <c:pt idx="17">
                  <c:v>5261.8</c:v>
                </c:pt>
                <c:pt idx="18">
                  <c:v>5317.4</c:v>
                </c:pt>
                <c:pt idx="19">
                  <c:v>5373.8</c:v>
                </c:pt>
                <c:pt idx="20">
                  <c:v>5430.9</c:v>
                </c:pt>
                <c:pt idx="21">
                  <c:v>5476.7</c:v>
                </c:pt>
                <c:pt idx="22">
                  <c:v>5521.7</c:v>
                </c:pt>
                <c:pt idx="23">
                  <c:v>5566.6</c:v>
                </c:pt>
                <c:pt idx="24">
                  <c:v>5611.9</c:v>
                </c:pt>
                <c:pt idx="25">
                  <c:v>5657.3</c:v>
                </c:pt>
                <c:pt idx="26">
                  <c:v>5670.8</c:v>
                </c:pt>
                <c:pt idx="27">
                  <c:v>5680.4</c:v>
                </c:pt>
                <c:pt idx="28">
                  <c:v>5689.7</c:v>
                </c:pt>
                <c:pt idx="29">
                  <c:v>5698.7</c:v>
                </c:pt>
                <c:pt idx="30">
                  <c:v>5692.3</c:v>
                </c:pt>
              </c:numCache>
            </c:numRef>
          </c:val>
          <c:smooth val="0"/>
        </c:ser>
        <c:ser>
          <c:idx val="2"/>
          <c:order val="2"/>
          <c:tx>
            <c:v>High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'Calculations&amp;Graphs'!$DA$2:$DA$32</c:f>
              <c:numCache>
                <c:ptCount val="31"/>
                <c:pt idx="0">
                  <c:v>4544.9</c:v>
                </c:pt>
                <c:pt idx="1">
                  <c:v>4619.9</c:v>
                </c:pt>
                <c:pt idx="2">
                  <c:v>4596.7</c:v>
                </c:pt>
                <c:pt idx="3">
                  <c:v>4717.4</c:v>
                </c:pt>
                <c:pt idx="4">
                  <c:v>4835.1</c:v>
                </c:pt>
                <c:pt idx="5">
                  <c:v>4957.3</c:v>
                </c:pt>
                <c:pt idx="6">
                  <c:v>5067.3</c:v>
                </c:pt>
                <c:pt idx="7">
                  <c:v>5180.9</c:v>
                </c:pt>
                <c:pt idx="8">
                  <c:v>5298.4</c:v>
                </c:pt>
                <c:pt idx="9">
                  <c:v>5419.9</c:v>
                </c:pt>
                <c:pt idx="10">
                  <c:v>5551.8</c:v>
                </c:pt>
                <c:pt idx="11">
                  <c:v>5644.2</c:v>
                </c:pt>
                <c:pt idx="12">
                  <c:v>5749.8</c:v>
                </c:pt>
                <c:pt idx="13">
                  <c:v>5858.2</c:v>
                </c:pt>
                <c:pt idx="14">
                  <c:v>5969.6</c:v>
                </c:pt>
                <c:pt idx="15">
                  <c:v>6084.1</c:v>
                </c:pt>
                <c:pt idx="16">
                  <c:v>6210.8</c:v>
                </c:pt>
                <c:pt idx="17">
                  <c:v>6341.7</c:v>
                </c:pt>
                <c:pt idx="18">
                  <c:v>6476.6</c:v>
                </c:pt>
                <c:pt idx="19">
                  <c:v>6616.5</c:v>
                </c:pt>
                <c:pt idx="20">
                  <c:v>6760.8</c:v>
                </c:pt>
                <c:pt idx="21">
                  <c:v>6891.8</c:v>
                </c:pt>
                <c:pt idx="22">
                  <c:v>7026.1</c:v>
                </c:pt>
                <c:pt idx="23">
                  <c:v>7164.6</c:v>
                </c:pt>
                <c:pt idx="24">
                  <c:v>7308.3</c:v>
                </c:pt>
                <c:pt idx="25">
                  <c:v>7457.4</c:v>
                </c:pt>
                <c:pt idx="26">
                  <c:v>7567</c:v>
                </c:pt>
                <c:pt idx="27">
                  <c:v>7675.1</c:v>
                </c:pt>
                <c:pt idx="28">
                  <c:v>7785.7</c:v>
                </c:pt>
                <c:pt idx="29">
                  <c:v>7900</c:v>
                </c:pt>
                <c:pt idx="30">
                  <c:v>7997.2</c:v>
                </c:pt>
              </c:numCache>
            </c:numRef>
          </c:val>
          <c:smooth val="0"/>
        </c:ser>
        <c:marker val="1"/>
        <c:axId val="6879037"/>
        <c:axId val="61911334"/>
      </c:line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11334"/>
        <c:crosses val="autoZero"/>
        <c:auto val="1"/>
        <c:lblOffset val="100"/>
        <c:noMultiLvlLbl val="0"/>
      </c:catAx>
      <c:valAx>
        <c:axId val="61911334"/>
        <c:scaling>
          <c:orientation val="minMax"/>
          <c:min val="2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6879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25"/>
          <c:y val="0.95425"/>
          <c:w val="0.28475"/>
          <c:h val="0.0385"/>
        </c:manualLayout>
      </c:layout>
      <c:overlay val="0"/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National BLS and BEA/W&amp;P Service Sector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BLS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NationalDataInterm!$A$89:$A$98</c:f>
              <c:strCache>
                <c:ptCount val="10"/>
                <c:pt idx="0">
                  <c:v>1980-1985</c:v>
                </c:pt>
                <c:pt idx="1">
                  <c:v>1985-1990</c:v>
                </c:pt>
                <c:pt idx="2">
                  <c:v>1990-1995</c:v>
                </c:pt>
                <c:pt idx="3">
                  <c:v>1995-2000</c:v>
                </c:pt>
                <c:pt idx="4">
                  <c:v>2000-2005</c:v>
                </c:pt>
                <c:pt idx="5">
                  <c:v>2005-2010</c:v>
                </c:pt>
                <c:pt idx="6">
                  <c:v>2010-2015</c:v>
                </c:pt>
                <c:pt idx="7">
                  <c:v>2015-2020</c:v>
                </c:pt>
                <c:pt idx="8">
                  <c:v>2020-2025</c:v>
                </c:pt>
                <c:pt idx="9">
                  <c:v>2025-2030</c:v>
                </c:pt>
              </c:strCache>
            </c:strRef>
          </c:cat>
          <c:val>
            <c:numRef>
              <c:f>NationalDataInterm!$I$77:$I$86</c:f>
              <c:numCache>
                <c:ptCount val="10"/>
                <c:pt idx="0">
                  <c:v>0.20768959548689023</c:v>
                </c:pt>
                <c:pt idx="1">
                  <c:v>0.2520779421847698</c:v>
                </c:pt>
                <c:pt idx="2">
                  <c:v>0.17693984476295802</c:v>
                </c:pt>
                <c:pt idx="3">
                  <c:v>0.20717489058456948</c:v>
                </c:pt>
                <c:pt idx="4">
                  <c:v>0.1206785510915054</c:v>
                </c:pt>
                <c:pt idx="5">
                  <c:v>0.17372781695297362</c:v>
                </c:pt>
                <c:pt idx="6">
                  <c:v>0.09487289133355267</c:v>
                </c:pt>
                <c:pt idx="7">
                  <c:v>0.0945613180664276</c:v>
                </c:pt>
                <c:pt idx="8">
                  <c:v>0.09442731391106865</c:v>
                </c:pt>
                <c:pt idx="9">
                  <c:v>0.09429336058791973</c:v>
                </c:pt>
              </c:numCache>
            </c:numRef>
          </c:val>
          <c:smooth val="0"/>
        </c:ser>
        <c:ser>
          <c:idx val="1"/>
          <c:order val="1"/>
          <c:tx>
            <c:v>BEA/W&amp;P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NationalDataInterm!$A$89:$A$98</c:f>
              <c:strCache>
                <c:ptCount val="10"/>
                <c:pt idx="0">
                  <c:v>1980-1985</c:v>
                </c:pt>
                <c:pt idx="1">
                  <c:v>1985-1990</c:v>
                </c:pt>
                <c:pt idx="2">
                  <c:v>1990-1995</c:v>
                </c:pt>
                <c:pt idx="3">
                  <c:v>1995-2000</c:v>
                </c:pt>
                <c:pt idx="4">
                  <c:v>2000-2005</c:v>
                </c:pt>
                <c:pt idx="5">
                  <c:v>2005-2010</c:v>
                </c:pt>
                <c:pt idx="6">
                  <c:v>2010-2015</c:v>
                </c:pt>
                <c:pt idx="7">
                  <c:v>2015-2020</c:v>
                </c:pt>
                <c:pt idx="8">
                  <c:v>2020-2025</c:v>
                </c:pt>
                <c:pt idx="9">
                  <c:v>2025-2030</c:v>
                </c:pt>
              </c:strCache>
            </c:strRef>
          </c:cat>
          <c:val>
            <c:numRef>
              <c:f>NationalDataInterm!$I$89:$I$98</c:f>
              <c:numCache>
                <c:ptCount val="10"/>
                <c:pt idx="0">
                  <c:v>0.2496789647992297</c:v>
                </c:pt>
                <c:pt idx="1">
                  <c:v>0.23904705758384967</c:v>
                </c:pt>
                <c:pt idx="2">
                  <c:v>0.1565146199078169</c:v>
                </c:pt>
                <c:pt idx="3">
                  <c:v>0.19005556948531072</c:v>
                </c:pt>
                <c:pt idx="4">
                  <c:v>0.09803035039590922</c:v>
                </c:pt>
                <c:pt idx="5">
                  <c:v>0.09482959094058148</c:v>
                </c:pt>
                <c:pt idx="6">
                  <c:v>0.09469554312755522</c:v>
                </c:pt>
                <c:pt idx="7">
                  <c:v>0.09456131806642734</c:v>
                </c:pt>
                <c:pt idx="8">
                  <c:v>0.09442731391106862</c:v>
                </c:pt>
                <c:pt idx="9">
                  <c:v>0.09429336058792001</c:v>
                </c:pt>
              </c:numCache>
            </c:numRef>
          </c:val>
          <c:smooth val="0"/>
        </c:ser>
        <c:marker val="1"/>
        <c:axId val="42097201"/>
        <c:axId val="43330490"/>
      </c:line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097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National BLS and BEA/W&amp;P Service Sector Growth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BLS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NationalDataInterm!$A$89:$A$98</c:f>
              <c:strCache>
                <c:ptCount val="10"/>
                <c:pt idx="0">
                  <c:v>1980-1985</c:v>
                </c:pt>
                <c:pt idx="1">
                  <c:v>1985-1990</c:v>
                </c:pt>
                <c:pt idx="2">
                  <c:v>1990-1995</c:v>
                </c:pt>
                <c:pt idx="3">
                  <c:v>1995-2000</c:v>
                </c:pt>
                <c:pt idx="4">
                  <c:v>2000-2005</c:v>
                </c:pt>
                <c:pt idx="5">
                  <c:v>2005-2010</c:v>
                </c:pt>
                <c:pt idx="6">
                  <c:v>2010-2015</c:v>
                </c:pt>
                <c:pt idx="7">
                  <c:v>2015-2020</c:v>
                </c:pt>
                <c:pt idx="8">
                  <c:v>2020-2025</c:v>
                </c:pt>
                <c:pt idx="9">
                  <c:v>2025-2030</c:v>
                </c:pt>
              </c:strCache>
            </c:strRef>
          </c:cat>
          <c:val>
            <c:numRef>
              <c:f>NationalDataInterm!$I$77:$I$86</c:f>
              <c:numCache>
                <c:ptCount val="10"/>
                <c:pt idx="0">
                  <c:v>0.20768959548689023</c:v>
                </c:pt>
                <c:pt idx="1">
                  <c:v>0.2520779421847698</c:v>
                </c:pt>
                <c:pt idx="2">
                  <c:v>0.17693984476295802</c:v>
                </c:pt>
                <c:pt idx="3">
                  <c:v>0.20717489058456948</c:v>
                </c:pt>
                <c:pt idx="4">
                  <c:v>0.1206785510915054</c:v>
                </c:pt>
                <c:pt idx="5">
                  <c:v>0.17372781695297362</c:v>
                </c:pt>
                <c:pt idx="6">
                  <c:v>0.09487289133355267</c:v>
                </c:pt>
                <c:pt idx="7">
                  <c:v>0.0945613180664276</c:v>
                </c:pt>
                <c:pt idx="8">
                  <c:v>0.09442731391106865</c:v>
                </c:pt>
                <c:pt idx="9">
                  <c:v>0.09429336058791973</c:v>
                </c:pt>
              </c:numCache>
            </c:numRef>
          </c:val>
          <c:smooth val="0"/>
        </c:ser>
        <c:ser>
          <c:idx val="1"/>
          <c:order val="1"/>
          <c:tx>
            <c:v>BEA/W&amp;P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NationalDataInterm!$A$89:$A$98</c:f>
              <c:strCache>
                <c:ptCount val="10"/>
                <c:pt idx="0">
                  <c:v>1980-1985</c:v>
                </c:pt>
                <c:pt idx="1">
                  <c:v>1985-1990</c:v>
                </c:pt>
                <c:pt idx="2">
                  <c:v>1990-1995</c:v>
                </c:pt>
                <c:pt idx="3">
                  <c:v>1995-2000</c:v>
                </c:pt>
                <c:pt idx="4">
                  <c:v>2000-2005</c:v>
                </c:pt>
                <c:pt idx="5">
                  <c:v>2005-2010</c:v>
                </c:pt>
                <c:pt idx="6">
                  <c:v>2010-2015</c:v>
                </c:pt>
                <c:pt idx="7">
                  <c:v>2015-2020</c:v>
                </c:pt>
                <c:pt idx="8">
                  <c:v>2020-2025</c:v>
                </c:pt>
                <c:pt idx="9">
                  <c:v>2025-2030</c:v>
                </c:pt>
              </c:strCache>
            </c:strRef>
          </c:cat>
          <c:val>
            <c:numRef>
              <c:f>NationalDataInterm!$I$89:$I$98</c:f>
              <c:numCache>
                <c:ptCount val="10"/>
                <c:pt idx="0">
                  <c:v>0.2496789647992297</c:v>
                </c:pt>
                <c:pt idx="1">
                  <c:v>0.23904705758384967</c:v>
                </c:pt>
                <c:pt idx="2">
                  <c:v>0.1565146199078169</c:v>
                </c:pt>
                <c:pt idx="3">
                  <c:v>0.19005556948531072</c:v>
                </c:pt>
                <c:pt idx="4">
                  <c:v>0.09803035039590922</c:v>
                </c:pt>
                <c:pt idx="5">
                  <c:v>0.09482959094058148</c:v>
                </c:pt>
                <c:pt idx="6">
                  <c:v>0.09469554312755522</c:v>
                </c:pt>
                <c:pt idx="7">
                  <c:v>0.09456131806642734</c:v>
                </c:pt>
                <c:pt idx="8">
                  <c:v>0.09442731391106862</c:v>
                </c:pt>
                <c:pt idx="9">
                  <c:v>0.09429336058792001</c:v>
                </c:pt>
              </c:numCache>
            </c:numRef>
          </c:val>
          <c:smooth val="0"/>
        </c:ser>
        <c:ser>
          <c:idx val="2"/>
          <c:order val="2"/>
          <c:tx>
            <c:v>BLS_Old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NationalDataInterm!$I$101:$I$108</c:f>
              <c:numCache>
                <c:ptCount val="8"/>
                <c:pt idx="0">
                  <c:v>0.21856243010703613</c:v>
                </c:pt>
                <c:pt idx="1">
                  <c:v>0.2778227788832962</c:v>
                </c:pt>
                <c:pt idx="2">
                  <c:v>0.17026097197263013</c:v>
                </c:pt>
                <c:pt idx="3">
                  <c:v>0.17938187184766377</c:v>
                </c:pt>
                <c:pt idx="4">
                  <c:v>0.13654068924922766</c:v>
                </c:pt>
                <c:pt idx="5">
                  <c:v>0.10203543267118097</c:v>
                </c:pt>
                <c:pt idx="6">
                  <c:v>0.07377721193215546</c:v>
                </c:pt>
                <c:pt idx="7">
                  <c:v>0.04163533668374089</c:v>
                </c:pt>
              </c:numCache>
            </c:numRef>
          </c:val>
          <c:smooth val="0"/>
        </c:ser>
        <c:marker val="1"/>
        <c:axId val="54430091"/>
        <c:axId val="20108772"/>
      </c:line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430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Preliminary RND 7.0 HH Projections for the WASHCOG Planning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575"/>
          <c:w val="0.977"/>
          <c:h val="0.82925"/>
        </c:manualLayout>
      </c:layout>
      <c:lineChart>
        <c:grouping val="standard"/>
        <c:varyColors val="0"/>
        <c:ser>
          <c:idx val="0"/>
          <c:order val="0"/>
          <c:tx>
            <c:v>Interim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'Calculations&amp;Graphs'!$DC$2:$DC$32</c:f>
              <c:numCache>
                <c:ptCount val="31"/>
                <c:pt idx="0">
                  <c:v>1707.8015707448765</c:v>
                </c:pt>
                <c:pt idx="1">
                  <c:v>1727.7330264672034</c:v>
                </c:pt>
                <c:pt idx="2">
                  <c:v>1704.8714998082087</c:v>
                </c:pt>
                <c:pt idx="3">
                  <c:v>1725.469888761028</c:v>
                </c:pt>
                <c:pt idx="4">
                  <c:v>1752.3206751054852</c:v>
                </c:pt>
                <c:pt idx="5">
                  <c:v>1771.7557251908397</c:v>
                </c:pt>
                <c:pt idx="6">
                  <c:v>1804.7767469146634</c:v>
                </c:pt>
                <c:pt idx="7">
                  <c:v>1839.0705047449744</c:v>
                </c:pt>
                <c:pt idx="8">
                  <c:v>1874.2190510843309</c:v>
                </c:pt>
                <c:pt idx="9">
                  <c:v>1910.3774280773089</c:v>
                </c:pt>
                <c:pt idx="10">
                  <c:v>1949.7701149425286</c:v>
                </c:pt>
                <c:pt idx="11">
                  <c:v>1977.969348659004</c:v>
                </c:pt>
                <c:pt idx="12">
                  <c:v>2005.2490421455939</c:v>
                </c:pt>
                <c:pt idx="13">
                  <c:v>2032.4521072796936</c:v>
                </c:pt>
                <c:pt idx="14">
                  <c:v>2060.0000000000005</c:v>
                </c:pt>
                <c:pt idx="15">
                  <c:v>2087.892720306513</c:v>
                </c:pt>
                <c:pt idx="16">
                  <c:v>2120.9764248705405</c:v>
                </c:pt>
                <c:pt idx="17">
                  <c:v>2154.8771787325454</c:v>
                </c:pt>
                <c:pt idx="18">
                  <c:v>2189.558404368782</c:v>
                </c:pt>
                <c:pt idx="19">
                  <c:v>2225.06027309088</c:v>
                </c:pt>
                <c:pt idx="20">
                  <c:v>2261.4615384615386</c:v>
                </c:pt>
                <c:pt idx="21">
                  <c:v>2291.4230769230767</c:v>
                </c:pt>
                <c:pt idx="22">
                  <c:v>2321.730769230769</c:v>
                </c:pt>
                <c:pt idx="23">
                  <c:v>2352.423076923077</c:v>
                </c:pt>
                <c:pt idx="24">
                  <c:v>2383.8846153846152</c:v>
                </c:pt>
                <c:pt idx="25">
                  <c:v>2416.0384615384614</c:v>
                </c:pt>
                <c:pt idx="26">
                  <c:v>2434.923076923077</c:v>
                </c:pt>
                <c:pt idx="27">
                  <c:v>2452.576923076923</c:v>
                </c:pt>
                <c:pt idx="28">
                  <c:v>2470.423076923077</c:v>
                </c:pt>
                <c:pt idx="29">
                  <c:v>2488.5384615384614</c:v>
                </c:pt>
                <c:pt idx="30">
                  <c:v>2500.423076923077</c:v>
                </c:pt>
              </c:numCache>
            </c:numRef>
          </c:val>
          <c:smooth val="0"/>
        </c:ser>
        <c:ser>
          <c:idx val="1"/>
          <c:order val="1"/>
          <c:tx>
            <c:v>Low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'Calculations&amp;Graphs'!$DD$2:$DD$32</c:f>
              <c:numCache>
                <c:ptCount val="31"/>
                <c:pt idx="0">
                  <c:v>1707.8015707448765</c:v>
                </c:pt>
                <c:pt idx="1">
                  <c:v>1719.21749136939</c:v>
                </c:pt>
                <c:pt idx="2">
                  <c:v>1691.561181434599</c:v>
                </c:pt>
                <c:pt idx="3">
                  <c:v>1691.561181434599</c:v>
                </c:pt>
                <c:pt idx="4">
                  <c:v>1703.37552742616</c:v>
                </c:pt>
                <c:pt idx="5">
                  <c:v>1708.3969465648854</c:v>
                </c:pt>
                <c:pt idx="6">
                  <c:v>1735.520372631343</c:v>
                </c:pt>
                <c:pt idx="7">
                  <c:v>1764.1395299973924</c:v>
                </c:pt>
                <c:pt idx="8">
                  <c:v>1793.2641761003583</c:v>
                </c:pt>
                <c:pt idx="9">
                  <c:v>1822.8964411112493</c:v>
                </c:pt>
                <c:pt idx="10">
                  <c:v>1855.307692307692</c:v>
                </c:pt>
                <c:pt idx="11">
                  <c:v>1871.9036847694993</c:v>
                </c:pt>
                <c:pt idx="12">
                  <c:v>1891.0280222533693</c:v>
                </c:pt>
                <c:pt idx="13">
                  <c:v>1910.2578382559263</c:v>
                </c:pt>
                <c:pt idx="14">
                  <c:v>1929.2075405767403</c:v>
                </c:pt>
                <c:pt idx="15">
                  <c:v>1948.2625482625483</c:v>
                </c:pt>
                <c:pt idx="16">
                  <c:v>1970.1723723378468</c:v>
                </c:pt>
                <c:pt idx="17">
                  <c:v>1992.3082945970157</c:v>
                </c:pt>
                <c:pt idx="18">
                  <c:v>2014.7482010832503</c:v>
                </c:pt>
                <c:pt idx="19">
                  <c:v>2037.4540290605585</c:v>
                </c:pt>
                <c:pt idx="20">
                  <c:v>2060.503875968992</c:v>
                </c:pt>
                <c:pt idx="21">
                  <c:v>2082.501369506482</c:v>
                </c:pt>
                <c:pt idx="22">
                  <c:v>2104.356946968457</c:v>
                </c:pt>
                <c:pt idx="23">
                  <c:v>2126.186373735262</c:v>
                </c:pt>
                <c:pt idx="24">
                  <c:v>2148.30212568997</c:v>
                </c:pt>
                <c:pt idx="25">
                  <c:v>2170.509803921569</c:v>
                </c:pt>
                <c:pt idx="26">
                  <c:v>2175.5686274509803</c:v>
                </c:pt>
                <c:pt idx="27">
                  <c:v>2179.098039215686</c:v>
                </c:pt>
                <c:pt idx="28">
                  <c:v>2182.5882352941176</c:v>
                </c:pt>
                <c:pt idx="29">
                  <c:v>2185.8823529411766</c:v>
                </c:pt>
                <c:pt idx="30">
                  <c:v>2183.294117647059</c:v>
                </c:pt>
              </c:numCache>
            </c:numRef>
          </c:val>
          <c:smooth val="0"/>
        </c:ser>
        <c:ser>
          <c:idx val="2"/>
          <c:order val="2"/>
          <c:tx>
            <c:v>High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'Calculations&amp;Graphs'!$A$2:$A$32</c:f>
              <c:numCach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'Calculations&amp;Graphs'!$DE$2:$DE$32</c:f>
              <c:numCache>
                <c:ptCount val="31"/>
                <c:pt idx="0">
                  <c:v>1707.8015707448765</c:v>
                </c:pt>
                <c:pt idx="1">
                  <c:v>1736.4787111622554</c:v>
                </c:pt>
                <c:pt idx="2">
                  <c:v>1727.7330264672034</c:v>
                </c:pt>
                <c:pt idx="3">
                  <c:v>1773.1108553893362</c:v>
                </c:pt>
                <c:pt idx="4">
                  <c:v>1817.337936325278</c:v>
                </c:pt>
                <c:pt idx="5">
                  <c:v>1846.958174904943</c:v>
                </c:pt>
                <c:pt idx="6">
                  <c:v>1888.0608365019013</c:v>
                </c:pt>
                <c:pt idx="7">
                  <c:v>1930.4182509505704</c:v>
                </c:pt>
                <c:pt idx="8">
                  <c:v>1974.296577946768</c:v>
                </c:pt>
                <c:pt idx="9">
                  <c:v>2019.6577946768061</c:v>
                </c:pt>
                <c:pt idx="10">
                  <c:v>2068.897338403042</c:v>
                </c:pt>
                <c:pt idx="11">
                  <c:v>2100.2754133256044</c:v>
                </c:pt>
                <c:pt idx="12">
                  <c:v>2136.443834255219</c:v>
                </c:pt>
                <c:pt idx="13">
                  <c:v>2173.5955829080985</c:v>
                </c:pt>
                <c:pt idx="14">
                  <c:v>2211.688143899606</c:v>
                </c:pt>
                <c:pt idx="15">
                  <c:v>2250.8301886792456</c:v>
                </c:pt>
                <c:pt idx="16">
                  <c:v>2297.9622641509436</c:v>
                </c:pt>
                <c:pt idx="17">
                  <c:v>2346.603773584906</c:v>
                </c:pt>
                <c:pt idx="18">
                  <c:v>2396.7924528301887</c:v>
                </c:pt>
                <c:pt idx="19">
                  <c:v>2448.7924528301887</c:v>
                </c:pt>
                <c:pt idx="20">
                  <c:v>2502.4905660377362</c:v>
                </c:pt>
                <c:pt idx="21">
                  <c:v>2551.2075471698113</c:v>
                </c:pt>
                <c:pt idx="22">
                  <c:v>2601.2075471698117</c:v>
                </c:pt>
                <c:pt idx="23">
                  <c:v>2652.7547169811323</c:v>
                </c:pt>
                <c:pt idx="24">
                  <c:v>2706.2264150943397</c:v>
                </c:pt>
                <c:pt idx="25">
                  <c:v>2761.698113207547</c:v>
                </c:pt>
                <c:pt idx="26">
                  <c:v>2802.4905660377362</c:v>
                </c:pt>
                <c:pt idx="27">
                  <c:v>2842.679245283019</c:v>
                </c:pt>
                <c:pt idx="28">
                  <c:v>2883.8490566037735</c:v>
                </c:pt>
                <c:pt idx="29">
                  <c:v>2926.33962264151</c:v>
                </c:pt>
                <c:pt idx="30">
                  <c:v>2962.5283018867926</c:v>
                </c:pt>
              </c:numCache>
            </c:numRef>
          </c:val>
          <c:smooth val="0"/>
        </c:ser>
        <c:marker val="1"/>
        <c:axId val="20331095"/>
        <c:axId val="48762128"/>
      </c:line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auto val="1"/>
        <c:lblOffset val="100"/>
        <c:noMultiLvlLbl val="0"/>
      </c:catAx>
      <c:valAx>
        <c:axId val="48762128"/>
        <c:scaling>
          <c:orientation val="minMax"/>
          <c:min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0331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25"/>
          <c:y val="0.95425"/>
          <c:w val="0.28475"/>
          <c:h val="0.0385"/>
        </c:manualLayout>
      </c:layout>
      <c:overlay val="0"/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Projected Population to Jobs Ratio for the Washington MSA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55"/>
          <c:w val="0.97675"/>
          <c:h val="0.8265"/>
        </c:manualLayout>
      </c:layout>
      <c:lineChart>
        <c:grouping val="standard"/>
        <c:varyColors val="0"/>
        <c:ser>
          <c:idx val="0"/>
          <c:order val="0"/>
          <c:tx>
            <c:v>Round 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'Calculations&amp;Graphs'!$BA$2:$BA$8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'Calculations&amp;Graphs'!$BK$2:$BK$8</c:f>
              <c:numCache>
                <c:ptCount val="7"/>
                <c:pt idx="0">
                  <c:v>1.5928015700567741</c:v>
                </c:pt>
                <c:pt idx="1">
                  <c:v>1.5545362209626161</c:v>
                </c:pt>
                <c:pt idx="2">
                  <c:v>1.5291027033373448</c:v>
                </c:pt>
                <c:pt idx="3">
                  <c:v>1.5517634941402445</c:v>
                </c:pt>
                <c:pt idx="4">
                  <c:v>1.6027426216080534</c:v>
                </c:pt>
                <c:pt idx="5">
                  <c:v>1.6451742492718688</c:v>
                </c:pt>
                <c:pt idx="6">
                  <c:v>1.6724142060013891</c:v>
                </c:pt>
              </c:numCache>
            </c:numRef>
          </c:val>
          <c:smooth val="0"/>
        </c:ser>
        <c:ser>
          <c:idx val="1"/>
          <c:order val="1"/>
          <c:tx>
            <c:v>Round 6.3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'Calculations&amp;Graphs'!$BA$2:$BA$8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'Calculations&amp;Graphs'!$BL$2:$BL$8</c:f>
              <c:numCache>
                <c:ptCount val="7"/>
                <c:pt idx="0">
                  <c:v>1.6120830087116649</c:v>
                </c:pt>
                <c:pt idx="1">
                  <c:v>1.615989344768216</c:v>
                </c:pt>
                <c:pt idx="2">
                  <c:v>1.5727956861815597</c:v>
                </c:pt>
                <c:pt idx="3">
                  <c:v>1.564892102398035</c:v>
                </c:pt>
                <c:pt idx="4">
                  <c:v>1.537724139752291</c:v>
                </c:pt>
                <c:pt idx="5">
                  <c:v>1.4991479977948179</c:v>
                </c:pt>
                <c:pt idx="6">
                  <c:v>1.4768497228743616</c:v>
                </c:pt>
              </c:numCache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crossAx val="36205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"/>
          <c:y val="0.911"/>
          <c:w val="0.29625"/>
          <c:h val="0.03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Projected Household Change for the Washington MSA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55"/>
          <c:w val="0.976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v>Round 7</c:v>
          </c:tx>
          <c:spPr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'Calculations&amp;Graphs'!$BA$3:$BA$8</c:f>
              <c:numCach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'Calculations&amp;Graphs'!$BW$3:$BW$8</c:f>
              <c:numCache>
                <c:ptCount val="6"/>
                <c:pt idx="0">
                  <c:v>66.62591017115392</c:v>
                </c:pt>
                <c:pt idx="1">
                  <c:v>181.35795969699666</c:v>
                </c:pt>
                <c:pt idx="2">
                  <c:v>136.97318007662784</c:v>
                </c:pt>
                <c:pt idx="3">
                  <c:v>193.27984084880654</c:v>
                </c:pt>
                <c:pt idx="4">
                  <c:v>183.3461538461538</c:v>
                </c:pt>
                <c:pt idx="5">
                  <c:v>162.5</c:v>
                </c:pt>
              </c:numCache>
            </c:numRef>
          </c:val>
        </c:ser>
        <c:ser>
          <c:idx val="1"/>
          <c:order val="1"/>
          <c:tx>
            <c:v>Round 6.3</c:v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  <a:ln w="381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'Calculations&amp;Graphs'!$BA$3:$BA$8</c:f>
              <c:numCach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'Calculations&amp;Graphs'!$BX$3:$BX$8</c:f>
              <c:numCache>
                <c:ptCount val="6"/>
                <c:pt idx="0">
                  <c:v>157.9000000000001</c:v>
                </c:pt>
                <c:pt idx="1">
                  <c:v>139.39999999999986</c:v>
                </c:pt>
                <c:pt idx="2">
                  <c:v>126</c:v>
                </c:pt>
                <c:pt idx="3">
                  <c:v>92.20000000000027</c:v>
                </c:pt>
                <c:pt idx="4">
                  <c:v>72.29999999999973</c:v>
                </c:pt>
                <c:pt idx="5">
                  <c:v>53.09999999999991</c:v>
                </c:pt>
              </c:numCache>
            </c:numRef>
          </c:val>
        </c:ser>
        <c:axId val="47002347"/>
        <c:axId val="20367940"/>
      </c:bar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7002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75"/>
          <c:y val="0.911"/>
          <c:w val="0.29625"/>
          <c:h val="0.03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Projected Population Change for the Washington MSA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55"/>
          <c:w val="0.976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v>Round 7</c:v>
          </c:tx>
          <c:spPr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'Calculations&amp;Graphs'!$BA$3:$BA$8</c:f>
              <c:numCach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'Calculations&amp;Graphs'!$BT$3:$BT$8</c:f>
              <c:numCache>
                <c:ptCount val="6"/>
                <c:pt idx="0">
                  <c:v>199.70000000000073</c:v>
                </c:pt>
                <c:pt idx="1">
                  <c:v>464.89999999999964</c:v>
                </c:pt>
                <c:pt idx="2">
                  <c:v>364.89999999999964</c:v>
                </c:pt>
                <c:pt idx="3">
                  <c:v>491.5</c:v>
                </c:pt>
                <c:pt idx="4">
                  <c:v>486.5</c:v>
                </c:pt>
                <c:pt idx="5">
                  <c:v>431.10000000000036</c:v>
                </c:pt>
              </c:numCache>
            </c:numRef>
          </c:val>
        </c:ser>
        <c:ser>
          <c:idx val="1"/>
          <c:order val="1"/>
          <c:tx>
            <c:v>Round 6.3</c:v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  <a:ln w="381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'Calculations&amp;Graphs'!$BA$3:$BA$8</c:f>
              <c:numCach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'Calculations&amp;Graphs'!$BU$3:$BU$8</c:f>
              <c:numCache>
                <c:ptCount val="6"/>
                <c:pt idx="0">
                  <c:v>422.3000000000002</c:v>
                </c:pt>
                <c:pt idx="1">
                  <c:v>334</c:v>
                </c:pt>
                <c:pt idx="2">
                  <c:v>297.10000000000036</c:v>
                </c:pt>
                <c:pt idx="3">
                  <c:v>217.29999999999927</c:v>
                </c:pt>
                <c:pt idx="4">
                  <c:v>159.60000000000036</c:v>
                </c:pt>
                <c:pt idx="5">
                  <c:v>119.39999999999964</c:v>
                </c:pt>
              </c:numCache>
            </c:numRef>
          </c:val>
        </c:ser>
        <c:axId val="49093733"/>
        <c:axId val="39190414"/>
      </c:bar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9093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75"/>
          <c:y val="0.911"/>
          <c:w val="0.29625"/>
          <c:h val="0.03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Projected Employment Change for the Washington MSA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55"/>
          <c:w val="0.9767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v>Round 7</c:v>
          </c:tx>
          <c:spPr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'Calculations&amp;Graphs'!$BA$3:$BA$8</c:f>
              <c:numCach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'Calculations&amp;Graphs'!$BQ$3:$BQ$8</c:f>
              <c:numCache>
                <c:ptCount val="6"/>
                <c:pt idx="0">
                  <c:v>198.69999999999982</c:v>
                </c:pt>
                <c:pt idx="1">
                  <c:v>354.8000000000002</c:v>
                </c:pt>
                <c:pt idx="2">
                  <c:v>185.39999999999964</c:v>
                </c:pt>
                <c:pt idx="3">
                  <c:v>192.4000000000001</c:v>
                </c:pt>
                <c:pt idx="4">
                  <c:v>198.10000000000036</c:v>
                </c:pt>
                <c:pt idx="5">
                  <c:v>192.89999999999964</c:v>
                </c:pt>
              </c:numCache>
            </c:numRef>
          </c:val>
        </c:ser>
        <c:ser>
          <c:idx val="1"/>
          <c:order val="1"/>
          <c:tx>
            <c:v>Round 6.3</c:v>
          </c:tx>
          <c:spPr>
            <a:pattFill prst="pct20">
              <a:fgClr>
                <a:srgbClr val="993366"/>
              </a:fgClr>
              <a:bgClr>
                <a:srgbClr val="FFFFFF"/>
              </a:bgClr>
            </a:pattFill>
            <a:ln w="381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'Calculations&amp;Graphs'!$BA$3:$BA$8</c:f>
              <c:numCach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'Calculations&amp;Graphs'!$BR$3:$BR$8</c:f>
              <c:numCache>
                <c:ptCount val="6"/>
                <c:pt idx="0">
                  <c:v>254.5</c:v>
                </c:pt>
                <c:pt idx="1">
                  <c:v>296.89999999999964</c:v>
                </c:pt>
                <c:pt idx="2">
                  <c:v>206.9000000000001</c:v>
                </c:pt>
                <c:pt idx="3">
                  <c:v>204.5999999999999</c:v>
                </c:pt>
                <c:pt idx="4">
                  <c:v>203.9000000000001</c:v>
                </c:pt>
                <c:pt idx="5">
                  <c:v>141.0999999999999</c:v>
                </c:pt>
              </c:numCache>
            </c:numRef>
          </c:val>
        </c:ser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7169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75"/>
          <c:y val="0.911"/>
          <c:w val="0.29625"/>
          <c:h val="0.03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Projected Households for the Washington MSA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55"/>
          <c:w val="0.97675"/>
          <c:h val="0.8265"/>
        </c:manualLayout>
      </c:layout>
      <c:lineChart>
        <c:grouping val="standard"/>
        <c:varyColors val="0"/>
        <c:ser>
          <c:idx val="0"/>
          <c:order val="0"/>
          <c:tx>
            <c:v>Round 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'Calculations&amp;Graphs'!$BA$2:$BA$8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'Calculations&amp;Graphs'!$BH$2:$BH$8</c:f>
              <c:numCache>
                <c:ptCount val="7"/>
                <c:pt idx="0">
                  <c:v>1707.8015707448765</c:v>
                </c:pt>
                <c:pt idx="1">
                  <c:v>1774.4274809160304</c:v>
                </c:pt>
                <c:pt idx="2">
                  <c:v>1955.785440613027</c:v>
                </c:pt>
                <c:pt idx="3">
                  <c:v>2092.758620689655</c:v>
                </c:pt>
                <c:pt idx="4">
                  <c:v>2286.0384615384614</c:v>
                </c:pt>
                <c:pt idx="5">
                  <c:v>2469.3846153846152</c:v>
                </c:pt>
                <c:pt idx="6">
                  <c:v>2631.8846153846152</c:v>
                </c:pt>
              </c:numCache>
            </c:numRef>
          </c:val>
          <c:smooth val="0"/>
        </c:ser>
        <c:ser>
          <c:idx val="1"/>
          <c:order val="1"/>
          <c:tx>
            <c:v>Round 6.3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'Calculations&amp;Graphs'!$BA$2:$BA$8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'Calculations&amp;Graphs'!$BI$2:$BI$8</c:f>
              <c:numCache>
                <c:ptCount val="7"/>
                <c:pt idx="0">
                  <c:v>1714.8</c:v>
                </c:pt>
                <c:pt idx="1">
                  <c:v>1872.7</c:v>
                </c:pt>
                <c:pt idx="2">
                  <c:v>2012.1</c:v>
                </c:pt>
                <c:pt idx="3">
                  <c:v>2138.1</c:v>
                </c:pt>
                <c:pt idx="4">
                  <c:v>2230.3</c:v>
                </c:pt>
                <c:pt idx="5">
                  <c:v>2302.6</c:v>
                </c:pt>
                <c:pt idx="6">
                  <c:v>2355.7</c:v>
                </c:pt>
              </c:numCache>
            </c:numRef>
          </c:val>
          <c:smooth val="0"/>
        </c:ser>
        <c:marker val="1"/>
        <c:axId val="48544697"/>
        <c:axId val="34249090"/>
      </c:line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  <c:min val="1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8544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25"/>
          <c:y val="0.911"/>
          <c:w val="0.29625"/>
          <c:h val="0.03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Projected Population for the Washington MSA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55"/>
          <c:w val="0.97675"/>
          <c:h val="0.8265"/>
        </c:manualLayout>
      </c:layout>
      <c:lineChart>
        <c:grouping val="standard"/>
        <c:varyColors val="0"/>
        <c:ser>
          <c:idx val="0"/>
          <c:order val="0"/>
          <c:tx>
            <c:v>Round 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'Calculations&amp;Graphs'!$BA$2:$BA$8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'Calculations&amp;Graphs'!$BE$2:$BE$8</c:f>
              <c:numCache>
                <c:ptCount val="7"/>
                <c:pt idx="0">
                  <c:v>4544.9</c:v>
                </c:pt>
                <c:pt idx="1">
                  <c:v>4744.6</c:v>
                </c:pt>
                <c:pt idx="2">
                  <c:v>5209.5</c:v>
                </c:pt>
                <c:pt idx="3">
                  <c:v>5574.4</c:v>
                </c:pt>
                <c:pt idx="4">
                  <c:v>6065.9</c:v>
                </c:pt>
                <c:pt idx="5">
                  <c:v>6552.4</c:v>
                </c:pt>
                <c:pt idx="6">
                  <c:v>6983.5</c:v>
                </c:pt>
              </c:numCache>
            </c:numRef>
          </c:val>
          <c:smooth val="0"/>
        </c:ser>
        <c:ser>
          <c:idx val="1"/>
          <c:order val="1"/>
          <c:tx>
            <c:v>Round 6.3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'Calculations&amp;Graphs'!$BA$2:$BA$8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'Calculations&amp;Graphs'!$BF$2:$BF$8</c:f>
              <c:numCache>
                <c:ptCount val="7"/>
                <c:pt idx="0">
                  <c:v>4552.2</c:v>
                </c:pt>
                <c:pt idx="1">
                  <c:v>4974.5</c:v>
                </c:pt>
                <c:pt idx="2">
                  <c:v>5308.5</c:v>
                </c:pt>
                <c:pt idx="3">
                  <c:v>5605.6</c:v>
                </c:pt>
                <c:pt idx="4">
                  <c:v>5822.9</c:v>
                </c:pt>
                <c:pt idx="5">
                  <c:v>5982.5</c:v>
                </c:pt>
                <c:pt idx="6">
                  <c:v>6101.9</c:v>
                </c:pt>
              </c:numCache>
            </c:numRef>
          </c:val>
          <c:smooth val="0"/>
        </c:ser>
        <c:marker val="1"/>
        <c:axId val="39806355"/>
        <c:axId val="22712876"/>
      </c:line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  <c:min val="2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9806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15"/>
          <c:y val="0.911"/>
          <c:w val="0.29625"/>
          <c:h val="0.03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254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6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6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32"/>
  <sheetViews>
    <sheetView workbookViewId="0" zoomScale="68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 zoomScale="68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 zoomScale="68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29"/>
  <sheetViews>
    <sheetView workbookViewId="0" zoomScale="68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 zoomScale="68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5"/>
  <sheetViews>
    <sheetView workbookViewId="0" zoomScale="68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68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6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6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0.3095</cdr:y>
    </cdr:from>
    <cdr:to>
      <cdr:x>0.278</cdr:x>
      <cdr:y>0.37425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828800"/>
          <a:ext cx="1800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Projected increase in pop for every new job</a:t>
          </a:r>
        </a:p>
      </cdr:txBody>
    </cdr:sp>
  </cdr:relSizeAnchor>
  <cdr:relSizeAnchor xmlns:cdr="http://schemas.openxmlformats.org/drawingml/2006/chartDrawing">
    <cdr:from>
      <cdr:x>0.583</cdr:x>
      <cdr:y>0.14625</cdr:y>
    </cdr:from>
    <cdr:to>
      <cdr:x>0.7505</cdr:x>
      <cdr:y>0.23275</cdr:y>
    </cdr:to>
    <cdr:sp>
      <cdr:nvSpPr>
        <cdr:cNvPr id="2" name="TextBox 2"/>
        <cdr:cNvSpPr txBox="1">
          <a:spLocks noChangeArrowheads="1"/>
        </cdr:cNvSpPr>
      </cdr:nvSpPr>
      <cdr:spPr>
        <a:xfrm>
          <a:off x="5029200" y="857250"/>
          <a:ext cx="14478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Projected increase in pop for every new hh</a:t>
          </a:r>
        </a:p>
      </cdr:txBody>
    </cdr:sp>
  </cdr:relSizeAnchor>
  <cdr:relSizeAnchor xmlns:cdr="http://schemas.openxmlformats.org/drawingml/2006/chartDrawing">
    <cdr:from>
      <cdr:x>0.76075</cdr:x>
      <cdr:y>0.52775</cdr:y>
    </cdr:from>
    <cdr:to>
      <cdr:x>0.94325</cdr:x>
      <cdr:y>0.6135</cdr:y>
    </cdr:to>
    <cdr:sp>
      <cdr:nvSpPr>
        <cdr:cNvPr id="3" name="TextBox 3"/>
        <cdr:cNvSpPr txBox="1">
          <a:spLocks noChangeArrowheads="1"/>
        </cdr:cNvSpPr>
      </cdr:nvSpPr>
      <cdr:spPr>
        <a:xfrm>
          <a:off x="6572250" y="3114675"/>
          <a:ext cx="1581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Projected increase in hhs for every new job</a:t>
          </a:r>
        </a:p>
      </cdr:txBody>
    </cdr:sp>
  </cdr:relSizeAnchor>
  <cdr:relSizeAnchor xmlns:cdr="http://schemas.openxmlformats.org/drawingml/2006/chartDrawing">
    <cdr:from>
      <cdr:x>0.07</cdr:x>
      <cdr:y>0.3095</cdr:y>
    </cdr:from>
    <cdr:to>
      <cdr:x>0.26475</cdr:x>
      <cdr:y>0.37425</cdr:y>
    </cdr:to>
    <cdr:sp>
      <cdr:nvSpPr>
        <cdr:cNvPr id="4" name="Rectangle 4"/>
        <cdr:cNvSpPr>
          <a:spLocks/>
        </cdr:cNvSpPr>
      </cdr:nvSpPr>
      <cdr:spPr>
        <a:xfrm>
          <a:off x="600075" y="1828800"/>
          <a:ext cx="1685925" cy="381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0.14625</cdr:y>
    </cdr:from>
    <cdr:to>
      <cdr:x>0.7505</cdr:x>
      <cdr:y>0.23275</cdr:y>
    </cdr:to>
    <cdr:sp>
      <cdr:nvSpPr>
        <cdr:cNvPr id="5" name="Rectangle 5"/>
        <cdr:cNvSpPr>
          <a:spLocks/>
        </cdr:cNvSpPr>
      </cdr:nvSpPr>
      <cdr:spPr>
        <a:xfrm>
          <a:off x="5029200" y="857250"/>
          <a:ext cx="14478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0.7505</cdr:x>
      <cdr:y>0.5135</cdr:y>
    </cdr:from>
    <cdr:to>
      <cdr:x>0.94325</cdr:x>
      <cdr:y>0.6135</cdr:y>
    </cdr:to>
    <cdr:sp>
      <cdr:nvSpPr>
        <cdr:cNvPr id="6" name="Rectangle 6"/>
        <cdr:cNvSpPr>
          <a:spLocks/>
        </cdr:cNvSpPr>
      </cdr:nvSpPr>
      <cdr:spPr>
        <a:xfrm>
          <a:off x="6477000" y="3028950"/>
          <a:ext cx="1666875" cy="590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0.46075</cdr:y>
    </cdr:from>
    <cdr:to>
      <cdr:x>0.3005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2724150"/>
          <a:ext cx="1552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of 249.6</a:t>
          </a:r>
        </a:p>
      </cdr:txBody>
    </cdr:sp>
  </cdr:relSizeAnchor>
  <cdr:relSizeAnchor xmlns:cdr="http://schemas.openxmlformats.org/drawingml/2006/chartDrawing">
    <cdr:from>
      <cdr:x>0.54825</cdr:x>
      <cdr:y>0.2515</cdr:y>
    </cdr:from>
    <cdr:to>
      <cdr:x>0.7195</cdr:x>
      <cdr:y>0.28775</cdr:y>
    </cdr:to>
    <cdr:sp>
      <cdr:nvSpPr>
        <cdr:cNvPr id="2" name="TextBox 2"/>
        <cdr:cNvSpPr txBox="1">
          <a:spLocks noChangeArrowheads="1"/>
        </cdr:cNvSpPr>
      </cdr:nvSpPr>
      <cdr:spPr>
        <a:xfrm>
          <a:off x="4733925" y="1485900"/>
          <a:ext cx="1476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of 457.5</a:t>
          </a:r>
        </a:p>
      </cdr:txBody>
    </cdr:sp>
  </cdr:relSizeAnchor>
  <cdr:relSizeAnchor xmlns:cdr="http://schemas.openxmlformats.org/drawingml/2006/chartDrawing">
    <cdr:from>
      <cdr:x>0.73425</cdr:x>
      <cdr:y>0.5105</cdr:y>
    </cdr:from>
    <cdr:to>
      <cdr:x>0.92925</cdr:x>
      <cdr:y>0.5805</cdr:y>
    </cdr:to>
    <cdr:sp>
      <cdr:nvSpPr>
        <cdr:cNvPr id="3" name="TextBox 3"/>
        <cdr:cNvSpPr txBox="1">
          <a:spLocks noChangeArrowheads="1"/>
        </cdr:cNvSpPr>
      </cdr:nvSpPr>
      <cdr:spPr>
        <a:xfrm>
          <a:off x="6334125" y="3019425"/>
          <a:ext cx="1685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Difference of 452.2</a:t>
          </a:r>
        </a:p>
      </cdr:txBody>
    </cdr:sp>
  </cdr:relSizeAnchor>
  <cdr:relSizeAnchor xmlns:cdr="http://schemas.openxmlformats.org/drawingml/2006/chartDrawing">
    <cdr:from>
      <cdr:x>0.121</cdr:x>
      <cdr:y>0.46075</cdr:y>
    </cdr:from>
    <cdr:to>
      <cdr:x>0.3005</cdr:x>
      <cdr:y>0.51125</cdr:y>
    </cdr:to>
    <cdr:sp>
      <cdr:nvSpPr>
        <cdr:cNvPr id="4" name="Rectangle 4"/>
        <cdr:cNvSpPr>
          <a:spLocks/>
        </cdr:cNvSpPr>
      </cdr:nvSpPr>
      <cdr:spPr>
        <a:xfrm>
          <a:off x="1038225" y="2724150"/>
          <a:ext cx="1552575" cy="295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0.54825</cdr:x>
      <cdr:y>0.2515</cdr:y>
    </cdr:from>
    <cdr:to>
      <cdr:x>0.73425</cdr:x>
      <cdr:y>0.28775</cdr:y>
    </cdr:to>
    <cdr:sp>
      <cdr:nvSpPr>
        <cdr:cNvPr id="5" name="Rectangle 5"/>
        <cdr:cNvSpPr>
          <a:spLocks/>
        </cdr:cNvSpPr>
      </cdr:nvSpPr>
      <cdr:spPr>
        <a:xfrm>
          <a:off x="4733925" y="1485900"/>
          <a:ext cx="1609725" cy="219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0.5105</cdr:y>
    </cdr:from>
    <cdr:to>
      <cdr:x>0.91625</cdr:x>
      <cdr:y>0.54675</cdr:y>
    </cdr:to>
    <cdr:sp>
      <cdr:nvSpPr>
        <cdr:cNvPr id="6" name="Rectangle 6"/>
        <cdr:cNvSpPr>
          <a:spLocks/>
        </cdr:cNvSpPr>
      </cdr:nvSpPr>
      <cdr:spPr>
        <a:xfrm>
          <a:off x="6334125" y="3019425"/>
          <a:ext cx="1571625" cy="219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1"/>
  <sheetViews>
    <sheetView tabSelected="1" workbookViewId="0" topLeftCell="A1">
      <selection activeCell="A3" sqref="A3"/>
    </sheetView>
  </sheetViews>
  <sheetFormatPr defaultColWidth="9.140625" defaultRowHeight="12.75"/>
  <cols>
    <col min="2" max="2" width="10.57421875" style="0" customWidth="1"/>
  </cols>
  <sheetData>
    <row r="1" ht="12.75">
      <c r="A1" s="2" t="s">
        <v>225</v>
      </c>
    </row>
    <row r="2" ht="12.75">
      <c r="A2" s="2"/>
    </row>
    <row r="3" ht="12.75">
      <c r="A3" s="2" t="s">
        <v>348</v>
      </c>
    </row>
    <row r="4" ht="12.75">
      <c r="A4" s="2"/>
    </row>
    <row r="5" s="6" customFormat="1" ht="12.75">
      <c r="A5" s="6" t="s">
        <v>374</v>
      </c>
    </row>
    <row r="6" s="6" customFormat="1" ht="12.75">
      <c r="A6" s="6" t="s">
        <v>363</v>
      </c>
    </row>
    <row r="7" s="6" customFormat="1" ht="12.75">
      <c r="A7" s="125" t="s">
        <v>375</v>
      </c>
    </row>
    <row r="8" s="6" customFormat="1" ht="12.75">
      <c r="A8" s="6" t="s">
        <v>376</v>
      </c>
    </row>
    <row r="9" ht="12.75">
      <c r="A9" s="6" t="s">
        <v>377</v>
      </c>
    </row>
    <row r="10" ht="12.75">
      <c r="A10" s="2"/>
    </row>
    <row r="11" ht="12.75">
      <c r="A11" s="2"/>
    </row>
    <row r="12" ht="12.75">
      <c r="A12" s="2" t="s">
        <v>364</v>
      </c>
    </row>
    <row r="13" s="62" customFormat="1" ht="12.75">
      <c r="A13" s="62" t="s">
        <v>270</v>
      </c>
    </row>
    <row r="14" s="62" customFormat="1" ht="12.75">
      <c r="A14" s="62" t="s">
        <v>271</v>
      </c>
    </row>
    <row r="15" s="62" customFormat="1" ht="12.75">
      <c r="A15" s="62" t="s">
        <v>272</v>
      </c>
    </row>
    <row r="16" s="62" customFormat="1" ht="12.75">
      <c r="A16" s="62" t="s">
        <v>280</v>
      </c>
    </row>
    <row r="17" s="62" customFormat="1" ht="12.75">
      <c r="A17" s="62" t="s">
        <v>273</v>
      </c>
    </row>
    <row r="18" s="62" customFormat="1" ht="12.75">
      <c r="A18" s="62" t="s">
        <v>274</v>
      </c>
    </row>
    <row r="19" s="62" customFormat="1" ht="12.75">
      <c r="A19" s="62" t="s">
        <v>275</v>
      </c>
    </row>
    <row r="20" s="62" customFormat="1" ht="12.75">
      <c r="A20" s="62" t="s">
        <v>279</v>
      </c>
    </row>
    <row r="21" ht="12.75">
      <c r="A21" s="112"/>
    </row>
    <row r="22" spans="1:3" ht="12.75">
      <c r="A22" s="2" t="s">
        <v>226</v>
      </c>
      <c r="C22" t="s">
        <v>227</v>
      </c>
    </row>
    <row r="23" ht="12.75">
      <c r="C23" t="s">
        <v>228</v>
      </c>
    </row>
    <row r="24" ht="12.75">
      <c r="C24" t="s">
        <v>229</v>
      </c>
    </row>
    <row r="25" ht="12.75">
      <c r="C25" t="s">
        <v>230</v>
      </c>
    </row>
    <row r="26" ht="12.75">
      <c r="C26" t="s">
        <v>231</v>
      </c>
    </row>
    <row r="28" spans="1:3" ht="12.75">
      <c r="A28" s="2" t="s">
        <v>232</v>
      </c>
      <c r="C28" t="s">
        <v>233</v>
      </c>
    </row>
    <row r="30" spans="1:3" ht="12.75">
      <c r="A30" s="2" t="s">
        <v>234</v>
      </c>
      <c r="C30" t="s">
        <v>235</v>
      </c>
    </row>
    <row r="32" spans="1:3" ht="12.75">
      <c r="A32" s="2" t="s">
        <v>236</v>
      </c>
      <c r="C32" t="s">
        <v>237</v>
      </c>
    </row>
    <row r="34" spans="1:3" ht="12.75">
      <c r="A34" s="2" t="s">
        <v>238</v>
      </c>
      <c r="C34" t="s">
        <v>239</v>
      </c>
    </row>
    <row r="35" ht="12.75">
      <c r="C35" t="s">
        <v>240</v>
      </c>
    </row>
    <row r="36" ht="12.75">
      <c r="C36" t="s">
        <v>241</v>
      </c>
    </row>
    <row r="37" ht="12.75">
      <c r="C37" t="s">
        <v>242</v>
      </c>
    </row>
    <row r="38" ht="12.75">
      <c r="C38" t="s">
        <v>243</v>
      </c>
    </row>
    <row r="39" ht="12.75">
      <c r="C39" t="s">
        <v>244</v>
      </c>
    </row>
    <row r="40" ht="12.75">
      <c r="C40" t="s">
        <v>245</v>
      </c>
    </row>
    <row r="42" spans="1:3" ht="12.75">
      <c r="A42" s="2" t="s">
        <v>246</v>
      </c>
      <c r="C42" t="s">
        <v>247</v>
      </c>
    </row>
    <row r="43" ht="12.75">
      <c r="C43" t="s">
        <v>248</v>
      </c>
    </row>
    <row r="45" spans="1:3" ht="12.75">
      <c r="A45" s="2" t="s">
        <v>249</v>
      </c>
      <c r="C45" t="s">
        <v>250</v>
      </c>
    </row>
    <row r="46" ht="12.75">
      <c r="C46" t="s">
        <v>278</v>
      </c>
    </row>
    <row r="47" ht="12.75">
      <c r="C47" t="s">
        <v>276</v>
      </c>
    </row>
    <row r="48" ht="12.75">
      <c r="C48" t="s">
        <v>277</v>
      </c>
    </row>
    <row r="50" spans="1:3" ht="12.75">
      <c r="A50" s="111" t="s">
        <v>251</v>
      </c>
      <c r="C50" t="s">
        <v>252</v>
      </c>
    </row>
    <row r="52" spans="1:3" ht="12.75">
      <c r="A52" s="2" t="s">
        <v>253</v>
      </c>
      <c r="C52" t="s">
        <v>250</v>
      </c>
    </row>
    <row r="53" ht="12.75">
      <c r="C53" t="s">
        <v>254</v>
      </c>
    </row>
    <row r="55" spans="1:3" ht="12.75">
      <c r="A55" s="111" t="s">
        <v>255</v>
      </c>
      <c r="C55" t="s">
        <v>256</v>
      </c>
    </row>
    <row r="57" spans="1:3" ht="12.75">
      <c r="A57" s="2" t="s">
        <v>257</v>
      </c>
      <c r="C57" t="s">
        <v>250</v>
      </c>
    </row>
    <row r="58" ht="12.75">
      <c r="C58" t="s">
        <v>258</v>
      </c>
    </row>
    <row r="60" spans="1:3" ht="12.75">
      <c r="A60" s="111" t="s">
        <v>259</v>
      </c>
      <c r="C60" t="s">
        <v>260</v>
      </c>
    </row>
    <row r="62" spans="1:3" ht="12.75">
      <c r="A62" s="2" t="s">
        <v>261</v>
      </c>
      <c r="C62" t="s">
        <v>262</v>
      </c>
    </row>
    <row r="64" spans="1:3" ht="12.75">
      <c r="A64" s="2" t="s">
        <v>263</v>
      </c>
      <c r="C64" t="s">
        <v>264</v>
      </c>
    </row>
    <row r="65" ht="12.75">
      <c r="C65" t="s">
        <v>265</v>
      </c>
    </row>
    <row r="67" spans="1:3" ht="12.75">
      <c r="A67" s="2" t="s">
        <v>266</v>
      </c>
      <c r="C67" t="s">
        <v>267</v>
      </c>
    </row>
    <row r="68" ht="12.75">
      <c r="C68" t="s">
        <v>265</v>
      </c>
    </row>
    <row r="70" spans="1:3" ht="12.75">
      <c r="A70" s="2" t="s">
        <v>268</v>
      </c>
      <c r="C70" t="s">
        <v>269</v>
      </c>
    </row>
    <row r="71" ht="12.75">
      <c r="C71" t="s">
        <v>265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/>
  <dimension ref="A1:AV41"/>
  <sheetViews>
    <sheetView workbookViewId="0" topLeftCell="A1">
      <pane xSplit="1" ySplit="1" topLeftCell="AJ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:L32"/>
    </sheetView>
  </sheetViews>
  <sheetFormatPr defaultColWidth="9.140625" defaultRowHeight="12.75"/>
  <cols>
    <col min="1" max="1" width="11.140625" style="0" customWidth="1"/>
    <col min="2" max="4" width="11.00390625" style="0" customWidth="1"/>
    <col min="5" max="5" width="10.57421875" style="0" customWidth="1"/>
    <col min="6" max="6" width="16.28125" style="0" customWidth="1"/>
    <col min="7" max="7" width="10.140625" style="0" customWidth="1"/>
    <col min="8" max="8" width="11.28125" style="0" customWidth="1"/>
    <col min="9" max="9" width="13.00390625" style="0" customWidth="1"/>
    <col min="10" max="10" width="11.140625" style="0" customWidth="1"/>
    <col min="11" max="11" width="11.00390625" style="0" customWidth="1"/>
    <col min="12" max="12" width="13.421875" style="0" customWidth="1"/>
    <col min="13" max="13" width="2.28125" style="0" customWidth="1"/>
    <col min="14" max="14" width="14.421875" style="0" customWidth="1"/>
    <col min="15" max="15" width="2.28125" style="0" customWidth="1"/>
    <col min="16" max="17" width="13.7109375" style="0" customWidth="1"/>
    <col min="18" max="18" width="10.7109375" style="0" customWidth="1"/>
    <col min="19" max="19" width="13.7109375" style="0" customWidth="1"/>
    <col min="20" max="20" width="12.00390625" style="0" customWidth="1"/>
    <col min="21" max="21" width="15.7109375" style="0" customWidth="1"/>
    <col min="22" max="22" width="2.28125" style="0" customWidth="1"/>
    <col min="23" max="25" width="12.7109375" style="0" customWidth="1"/>
    <col min="26" max="26" width="20.00390625" style="0" customWidth="1"/>
    <col min="27" max="27" width="1.7109375" style="0" customWidth="1"/>
    <col min="28" max="28" width="19.8515625" style="0" customWidth="1"/>
    <col min="29" max="33" width="12.7109375" style="0" customWidth="1"/>
    <col min="34" max="34" width="14.140625" style="0" customWidth="1"/>
    <col min="35" max="38" width="12.7109375" style="0" customWidth="1"/>
    <col min="40" max="43" width="12.7109375" style="0" customWidth="1"/>
  </cols>
  <sheetData>
    <row r="1" spans="1:48" ht="38.25">
      <c r="A1" s="30" t="s">
        <v>114</v>
      </c>
      <c r="B1" s="30" t="s">
        <v>150</v>
      </c>
      <c r="C1" s="30" t="s">
        <v>152</v>
      </c>
      <c r="D1" s="30" t="s">
        <v>151</v>
      </c>
      <c r="E1" s="30" t="s">
        <v>153</v>
      </c>
      <c r="F1" s="30" t="s">
        <v>154</v>
      </c>
      <c r="G1" s="30" t="s">
        <v>123</v>
      </c>
      <c r="H1" s="30" t="s">
        <v>125</v>
      </c>
      <c r="I1" s="30" t="s">
        <v>155</v>
      </c>
      <c r="J1" s="30" t="s">
        <v>156</v>
      </c>
      <c r="K1" s="30" t="s">
        <v>157</v>
      </c>
      <c r="L1" s="30" t="s">
        <v>158</v>
      </c>
      <c r="N1" s="77" t="s">
        <v>160</v>
      </c>
      <c r="O1" s="77"/>
      <c r="P1" s="94" t="s">
        <v>161</v>
      </c>
      <c r="Q1" s="94" t="s">
        <v>159</v>
      </c>
      <c r="R1" s="94" t="s">
        <v>162</v>
      </c>
      <c r="S1" s="94" t="s">
        <v>163</v>
      </c>
      <c r="T1" s="94" t="s">
        <v>164</v>
      </c>
      <c r="U1" s="94" t="s">
        <v>165</v>
      </c>
      <c r="W1" s="94" t="s">
        <v>166</v>
      </c>
      <c r="X1" s="94" t="s">
        <v>167</v>
      </c>
      <c r="Y1" s="94" t="s">
        <v>168</v>
      </c>
      <c r="Z1" s="94" t="s">
        <v>169</v>
      </c>
      <c r="AB1" s="94" t="s">
        <v>170</v>
      </c>
      <c r="AC1" s="94" t="s">
        <v>171</v>
      </c>
      <c r="AD1" s="94" t="s">
        <v>172</v>
      </c>
      <c r="AE1" s="94" t="s">
        <v>173</v>
      </c>
      <c r="AF1" s="94" t="s">
        <v>174</v>
      </c>
      <c r="AG1" s="94" t="s">
        <v>175</v>
      </c>
      <c r="AH1" s="77" t="s">
        <v>176</v>
      </c>
      <c r="AI1" s="94" t="s">
        <v>177</v>
      </c>
      <c r="AJ1" s="94" t="s">
        <v>178</v>
      </c>
      <c r="AK1" s="94" t="s">
        <v>179</v>
      </c>
      <c r="AL1" s="94" t="s">
        <v>180</v>
      </c>
      <c r="AN1" s="77" t="s">
        <v>181</v>
      </c>
      <c r="AO1" s="77" t="s">
        <v>182</v>
      </c>
      <c r="AP1" s="77" t="s">
        <v>183</v>
      </c>
      <c r="AQ1" s="77" t="s">
        <v>184</v>
      </c>
      <c r="AS1" s="77" t="s">
        <v>343</v>
      </c>
      <c r="AT1" s="77" t="s">
        <v>344</v>
      </c>
      <c r="AU1" s="77" t="s">
        <v>345</v>
      </c>
      <c r="AV1" s="2" t="s">
        <v>293</v>
      </c>
    </row>
    <row r="2" spans="1:48" s="98" customFormat="1" ht="12.75">
      <c r="A2" s="98">
        <v>2000</v>
      </c>
      <c r="B2" s="98">
        <f>MSAData!I32</f>
        <v>85.3</v>
      </c>
      <c r="C2" s="98">
        <f>MSAData!F32</f>
        <v>129.6</v>
      </c>
      <c r="D2" s="98">
        <f>MSAData!E32</f>
        <v>144.4</v>
      </c>
      <c r="E2" s="98">
        <f>MSAData!D32</f>
        <v>143.1</v>
      </c>
      <c r="F2" s="99">
        <f>MSAData!G32</f>
        <v>67.80163633361755</v>
      </c>
      <c r="G2" s="99">
        <f>MSAData!B32</f>
        <v>377.3</v>
      </c>
      <c r="H2" s="99">
        <f>MSAData!C32</f>
        <v>80.2</v>
      </c>
      <c r="I2" s="99">
        <f>MSAData!J32</f>
        <v>161.7932352814788</v>
      </c>
      <c r="J2" s="99">
        <f>MSAData!K32</f>
        <v>350.7201089230505</v>
      </c>
      <c r="K2" s="99">
        <f>MSAData!L32</f>
        <v>504.0674931640383</v>
      </c>
      <c r="L2" s="99">
        <f>MSAData!H32</f>
        <v>244.8</v>
      </c>
      <c r="N2" s="100">
        <f>ROUND(SUM(B2:L2),1)</f>
        <v>2289.1</v>
      </c>
      <c r="O2" s="100"/>
      <c r="P2" s="98">
        <f>AnnualFactorsLow!J3</f>
        <v>342.57599999999996</v>
      </c>
      <c r="Q2" s="100">
        <f>ROUND((N2+P2),1)</f>
        <v>2631.7</v>
      </c>
      <c r="R2" s="100">
        <f>ROUND((AnnualFactorsLow!G3*Q2),1)</f>
        <v>142.4</v>
      </c>
      <c r="S2" s="100">
        <f>Q2+R2</f>
        <v>2774.1</v>
      </c>
      <c r="T2" s="100">
        <f>ROUND(AnnualFactorsLow!K3,1)</f>
        <v>79.3</v>
      </c>
      <c r="U2" s="100">
        <f>S2+T2</f>
        <v>2853.4</v>
      </c>
      <c r="V2" s="100"/>
      <c r="W2" s="100">
        <f>ROUND(AnnualFactorsLow!B3*U2,1)</f>
        <v>171.2</v>
      </c>
      <c r="X2" s="100">
        <f>U2-W2</f>
        <v>2682.2000000000003</v>
      </c>
      <c r="Y2" s="100">
        <f>ROUND(AnnualFactorsLow!F3*X2,1)</f>
        <v>164.2</v>
      </c>
      <c r="Z2" s="100">
        <f>X2-Y2</f>
        <v>2518.0000000000005</v>
      </c>
      <c r="AB2" s="101">
        <f>AnnualFactorsLow!C3</f>
        <v>0.7847</v>
      </c>
      <c r="AC2" s="100">
        <f>ROUND((Z2/AB2),1)</f>
        <v>3208.9</v>
      </c>
      <c r="AD2" s="102">
        <f>AnnualFactorsLow!D3</f>
        <v>0.3305806883005621</v>
      </c>
      <c r="AE2" s="100">
        <f>ROUND(AC2*AD2,1)</f>
        <v>1060.8</v>
      </c>
      <c r="AF2" s="102">
        <f>AnnualFactorsLow!E3</f>
        <v>0.13048489008118738</v>
      </c>
      <c r="AG2" s="98">
        <f>ROUND(AC2*AF2,1)</f>
        <v>418.7</v>
      </c>
      <c r="AH2" s="100">
        <f>AC2+AE2+AG2</f>
        <v>4688.4</v>
      </c>
      <c r="AI2" s="98">
        <f>ROUND(AnnualFactorsLow!H3*AH2,1)</f>
        <v>94.2</v>
      </c>
      <c r="AJ2" s="100">
        <f>AH2-AI2</f>
        <v>4594.2</v>
      </c>
      <c r="AK2" s="103">
        <f>AnnualFactorsLow!I3</f>
        <v>2.60768</v>
      </c>
      <c r="AL2" s="100">
        <f>ROUND(AJ2/AK2,1)</f>
        <v>1761.8</v>
      </c>
      <c r="AN2" s="104">
        <f>ROUND(4544.9/AH$2*AH2,1)</f>
        <v>4544.9</v>
      </c>
      <c r="AO2" s="104">
        <f>ROUND(91.5/AI$2*AI2,1)</f>
        <v>91.5</v>
      </c>
      <c r="AP2" s="104">
        <f>AN2-AO2</f>
        <v>4453.4</v>
      </c>
      <c r="AQ2" s="100">
        <f>AP2/AK2</f>
        <v>1707.8015707448765</v>
      </c>
      <c r="AS2" s="100">
        <f>(AE2/(AC2+AE2+AG2))*AN2</f>
        <v>1028.3316099308934</v>
      </c>
      <c r="AT2" s="100">
        <f>(AC2/(AC2+AE2+AG2))*AN2</f>
        <v>3110.683732190086</v>
      </c>
      <c r="AU2" s="100">
        <f>(AG2/(AC2+AE2+AG2))*AN2</f>
        <v>405.88465787902055</v>
      </c>
      <c r="AV2" s="115">
        <f>Y2/X2</f>
        <v>0.06121840280366862</v>
      </c>
    </row>
    <row r="3" spans="1:48" ht="12.75">
      <c r="A3">
        <v>2001</v>
      </c>
      <c r="B3" s="34">
        <f>SectorParameters!E$18+(SectorParameters!E$19*LN(A3))+SectorParameters!E$20*LN(NationalDataLow!C45)</f>
        <v>75.71747269758941</v>
      </c>
      <c r="C3" s="34">
        <f>SectorParameters!E$11+(SectorParameters!E$12*NationalDataLow!E45+SectorParameters!E$13*B3)</f>
        <v>119.65111253085584</v>
      </c>
      <c r="D3" s="34">
        <f>EXP(SectorParameters!B$11+SectorParameters!B$12*LN(NationalDataLow!D45))</f>
        <v>156.56676698143968</v>
      </c>
      <c r="E3" s="34">
        <f>SectorParameters!H$3+(SectorParameters!H$4*NationalDataLow!H45+SectorParameters!H$5*D2)</f>
        <v>147.88613550688416</v>
      </c>
      <c r="F3" s="34">
        <f>SectorParameters!H$11+SectorParameters!H$12*NationalDataLow!L45</f>
        <v>65.59706701324939</v>
      </c>
      <c r="G3" s="34">
        <f>SectorParameters!B$3+SectorParameters!B$4*NationalDataLow!F45</f>
        <v>400.611965330505</v>
      </c>
      <c r="H3" s="34">
        <f>EXP(SectorParameters!E$3+SectorParameters!E$4*LN(G2)+SectorParameters!E$5*LN(NationalDataLow!G45))</f>
        <v>83.92183746251985</v>
      </c>
      <c r="I3" s="34">
        <f>SectorParameters!H$18+(SectorParameters!H$19*NationalDataLow!K45+SectorParameters!H$20*MSAData!N33)</f>
        <v>173.80607403661264</v>
      </c>
      <c r="J3" s="34">
        <f>SectorParameters!B$26+SectorParameters!B$27*NationalDataLow!J45</f>
        <v>319.5387295246499</v>
      </c>
      <c r="K3" s="34">
        <f>SectorParameters!E$26+SectorParameters!E$27*NationalDataLow!M45</f>
        <v>542.7588238144023</v>
      </c>
      <c r="L3" s="34">
        <f>SectorParameters!B$18+SectorParameters!B$19*NationalDataLow!N45</f>
        <v>257.7412842396827</v>
      </c>
      <c r="N3" s="34">
        <f>ROUND(SUM(B3:L3),1)</f>
        <v>2343.8</v>
      </c>
      <c r="O3" s="34"/>
      <c r="P3">
        <f>AnnualFactorsLow!J4</f>
        <v>332.9819999999999</v>
      </c>
      <c r="Q3" s="34">
        <f>ROUND((N3+P3),1)</f>
        <v>2676.8</v>
      </c>
      <c r="R3" s="34">
        <f>ROUND((AnnualFactorsLow!G4*Q3),1)</f>
        <v>144.8</v>
      </c>
      <c r="S3" s="34">
        <f>Q3+R3</f>
        <v>2821.6000000000004</v>
      </c>
      <c r="T3" s="34">
        <f>ROUND(AnnualFactorsLow!K4,1)</f>
        <v>79.3</v>
      </c>
      <c r="U3" s="34">
        <f>S3+T3</f>
        <v>2900.9000000000005</v>
      </c>
      <c r="V3" s="34"/>
      <c r="W3" s="34">
        <f>ROUND(AnnualFactorsLow!B4*U3,1)</f>
        <v>174.1</v>
      </c>
      <c r="X3" s="34">
        <f>U3-W3</f>
        <v>2726.8000000000006</v>
      </c>
      <c r="Y3" s="60">
        <f>ROUND(AnnualFactorsLow!F4*X3,1)</f>
        <v>167.3</v>
      </c>
      <c r="Z3" s="34">
        <f>X3-Y3</f>
        <v>2559.5000000000005</v>
      </c>
      <c r="AB3" s="95">
        <f>AnnualFactorsLow!C4</f>
        <v>0.7910368244451859</v>
      </c>
      <c r="AC3" s="34">
        <f>ROUND((Z3/AB3),1)</f>
        <v>3235.6</v>
      </c>
      <c r="AD3" s="8">
        <f>AnnualFactorsLow!D4</f>
        <v>0.3280257519613347</v>
      </c>
      <c r="AE3" s="34">
        <f>ROUND(AC3*AD3,1)</f>
        <v>1061.4</v>
      </c>
      <c r="AF3" s="8">
        <f>AnnualFactorsLow!E4</f>
        <v>0.13026999642861986</v>
      </c>
      <c r="AG3">
        <f>ROUND(AC3*AF3,1)</f>
        <v>421.5</v>
      </c>
      <c r="AH3" s="34">
        <f>AC3+AE3+AG3</f>
        <v>4718.5</v>
      </c>
      <c r="AI3">
        <f>ROUND(AnnualFactorsLow!H4*AH3,1)</f>
        <v>94.8</v>
      </c>
      <c r="AJ3" s="34">
        <f>AH3-AI3</f>
        <v>4623.7</v>
      </c>
      <c r="AK3" s="9">
        <f>AnnualFactorsLow!I4</f>
        <v>2.607</v>
      </c>
      <c r="AL3" s="34">
        <f>ROUND(AJ3/AK3,1)</f>
        <v>1773.6</v>
      </c>
      <c r="AN3" s="96">
        <f>ROUND(4544.9/AH$2*AH3,1)</f>
        <v>4574.1</v>
      </c>
      <c r="AO3" s="96">
        <f>ROUND(91.5/AI$2*AI3,1)</f>
        <v>92.1</v>
      </c>
      <c r="AP3" s="96">
        <f>AN3-AO3</f>
        <v>4482</v>
      </c>
      <c r="AQ3" s="34">
        <f>AP3/AK3</f>
        <v>1719.21749136939</v>
      </c>
      <c r="AS3" s="60">
        <f aca="true" t="shared" si="0" ref="AS3:AS32">(AE3/(AC3+AE3+AG3))*AN3</f>
        <v>1028.9180332732863</v>
      </c>
      <c r="AT3" s="60">
        <f aca="true" t="shared" si="1" ref="AT3:AT32">(AC3/(AC3+AE3+AG3))*AN3</f>
        <v>3136.5811084030943</v>
      </c>
      <c r="AU3" s="60">
        <f aca="true" t="shared" si="2" ref="AU3:AU32">(AG3/(AC3+AE3+AG3))*AN3</f>
        <v>408.60085832361983</v>
      </c>
      <c r="AV3" s="115">
        <f aca="true" t="shared" si="3" ref="AV3:AV32">Y3/X3</f>
        <v>0.06135396802112365</v>
      </c>
    </row>
    <row r="4" spans="1:48" ht="12.75">
      <c r="A4">
        <v>2002</v>
      </c>
      <c r="B4" s="34">
        <f>SectorParameters!E$18+(SectorParameters!E$19*LN(A4))+SectorParameters!E$20*LN(NationalDataLow!C46)</f>
        <v>67.39069724166734</v>
      </c>
      <c r="C4" s="34">
        <f>SectorParameters!E$11+(SectorParameters!E$12*NationalDataLow!E46+SectorParameters!E$13*B4)</f>
        <v>109.31447752607394</v>
      </c>
      <c r="D4" s="34">
        <f>EXP(SectorParameters!B$11+SectorParameters!B$12*LN(NationalDataLow!D46))</f>
        <v>152.9051488177872</v>
      </c>
      <c r="E4" s="34">
        <f>SectorParameters!H$3+(SectorParameters!H$4*NationalDataLow!H46+SectorParameters!H$5*D3)</f>
        <v>150.71238364406153</v>
      </c>
      <c r="F4" s="34">
        <f>SectorParameters!H$11+SectorParameters!H$12*NationalDataLow!L46</f>
        <v>65.77751535571142</v>
      </c>
      <c r="G4" s="34">
        <f>SectorParameters!B$3+SectorParameters!B$4*NationalDataLow!F46</f>
        <v>397.0128164457522</v>
      </c>
      <c r="H4" s="34">
        <f>EXP(SectorParameters!E$3+SectorParameters!E$4*LN(G3)+SectorParameters!E$5*LN(NationalDataLow!G46))</f>
        <v>86.65334428567415</v>
      </c>
      <c r="I4" s="34">
        <f>SectorParameters!H$18+(SectorParameters!H$19*NationalDataLow!K46+SectorParameters!H$20*AH3)</f>
        <v>174.4159974204972</v>
      </c>
      <c r="J4" s="34">
        <f>SectorParameters!B$26+SectorParameters!B$27*NationalDataLow!J46</f>
        <v>311.2372331221481</v>
      </c>
      <c r="K4" s="34">
        <f>SectorParameters!E$26+SectorParameters!E$27*NationalDataLow!M46</f>
        <v>548.669564614004</v>
      </c>
      <c r="L4" s="34">
        <f>SectorParameters!B$18+SectorParameters!B$19*NationalDataLow!N46</f>
        <v>262.15306420079645</v>
      </c>
      <c r="N4" s="34">
        <f>ROUND(SUM(B4:L4),1)</f>
        <v>2326.2</v>
      </c>
      <c r="O4" s="34"/>
      <c r="P4">
        <f>AnnualFactorsLow!J5</f>
        <v>333.423</v>
      </c>
      <c r="Q4" s="34">
        <f>ROUND((N4+P4),1)</f>
        <v>2659.6</v>
      </c>
      <c r="R4" s="34">
        <f>ROUND((AnnualFactorsLow!G5*Q4),1)</f>
        <v>143.9</v>
      </c>
      <c r="S4" s="34">
        <f>Q4+R4</f>
        <v>2803.5</v>
      </c>
      <c r="T4" s="34">
        <f>ROUND(AnnualFactorsLow!K5,1)</f>
        <v>79.6</v>
      </c>
      <c r="U4" s="34">
        <f>S4+T4</f>
        <v>2883.1</v>
      </c>
      <c r="V4" s="34"/>
      <c r="W4" s="34">
        <f>ROUND(AnnualFactorsLow!B5*U4,1)</f>
        <v>173</v>
      </c>
      <c r="X4" s="34">
        <f>U4-W4</f>
        <v>2710.1</v>
      </c>
      <c r="Y4" s="60">
        <f>ROUND(AnnualFactorsLow!F5*X4,1)</f>
        <v>166.6</v>
      </c>
      <c r="Z4" s="34">
        <f>X4-Y4</f>
        <v>2543.5</v>
      </c>
      <c r="AB4" s="95">
        <f>AnnualFactorsLow!C5</f>
        <v>0.7974248217514003</v>
      </c>
      <c r="AC4" s="34">
        <f>ROUND((Z4/AB4),1)</f>
        <v>3189.6</v>
      </c>
      <c r="AD4" s="8">
        <f>AnnualFactorsLow!D5</f>
        <v>0.32549056178372093</v>
      </c>
      <c r="AE4" s="34">
        <f>ROUND(AC4*AD4,1)</f>
        <v>1038.2</v>
      </c>
      <c r="AF4" s="8">
        <f>AnnualFactorsLow!E5</f>
        <v>0.13005545668125842</v>
      </c>
      <c r="AG4">
        <f>ROUND(AC4*AF4,1)</f>
        <v>414.8</v>
      </c>
      <c r="AH4" s="34">
        <f>AC4+AE4+AG4</f>
        <v>4642.6</v>
      </c>
      <c r="AI4">
        <f>ROUND(AnnualFactorsLow!H5*AH4,1)</f>
        <v>93.3</v>
      </c>
      <c r="AJ4" s="34">
        <f>AH4-AI4</f>
        <v>4549.3</v>
      </c>
      <c r="AK4" s="9">
        <f>AnnualFactorsLow!I5</f>
        <v>2.607</v>
      </c>
      <c r="AL4" s="34">
        <f>ROUND(AJ4/AK4,1)</f>
        <v>1745</v>
      </c>
      <c r="AN4" s="96">
        <f>ROUND(4544.9/AH$2*AH4,1)</f>
        <v>4500.5</v>
      </c>
      <c r="AO4" s="96">
        <f>ROUND(91.5/AI$2*AI4,1)</f>
        <v>90.6</v>
      </c>
      <c r="AP4" s="96">
        <f>AN4-AO4</f>
        <v>4409.9</v>
      </c>
      <c r="AQ4" s="34">
        <f>AP4/AK4</f>
        <v>1691.561181434599</v>
      </c>
      <c r="AS4" s="60">
        <f t="shared" si="0"/>
        <v>1006.4229311161848</v>
      </c>
      <c r="AT4" s="60">
        <f t="shared" si="1"/>
        <v>3091.973204669797</v>
      </c>
      <c r="AU4" s="60">
        <f t="shared" si="2"/>
        <v>402.103864214018</v>
      </c>
      <c r="AV4" s="115">
        <f t="shared" si="3"/>
        <v>0.06147374635622302</v>
      </c>
    </row>
    <row r="5" spans="1:48" ht="12.75">
      <c r="A5">
        <v>2003</v>
      </c>
      <c r="B5" s="34">
        <f>SectorParameters!E$18+(SectorParameters!E$19*LN(A5))+SectorParameters!E$20*LN(NationalDataLow!C47)</f>
        <v>65.72299331485294</v>
      </c>
      <c r="C5" s="34">
        <f>SectorParameters!E$11+(SectorParameters!E$12*NationalDataLow!E47+SectorParameters!E$13*B5)</f>
        <v>110.14910847207554</v>
      </c>
      <c r="D5" s="34">
        <f>EXP(SectorParameters!B$11+SectorParameters!B$12*LN(NationalDataLow!D47))</f>
        <v>154.5126723237454</v>
      </c>
      <c r="E5" s="34">
        <f>SectorParameters!H$3+(SectorParameters!H$4*NationalDataLow!H47+SectorParameters!H$5*D4)</f>
        <v>149.91394999247507</v>
      </c>
      <c r="F5" s="34">
        <f>SectorParameters!H$11+SectorParameters!H$12*NationalDataLow!L47</f>
        <v>66.13011556511998</v>
      </c>
      <c r="G5" s="34">
        <f>SectorParameters!B$3+SectorParameters!B$4*NationalDataLow!F47</f>
        <v>399.2639507713545</v>
      </c>
      <c r="H5" s="34">
        <f>EXP(SectorParameters!E$3+SectorParameters!E$4*LN(G4)+SectorParameters!E$5*LN(NationalDataLow!G47))</f>
        <v>86.72828949317318</v>
      </c>
      <c r="I5" s="34">
        <f>SectorParameters!H$18+(SectorParameters!H$19*NationalDataLow!K47+SectorParameters!H$20*AH4)</f>
        <v>172.764118908748</v>
      </c>
      <c r="J5" s="34">
        <f>SectorParameters!B$26+SectorParameters!B$27*NationalDataLow!J47</f>
        <v>327.4330765341425</v>
      </c>
      <c r="K5" s="34">
        <f>SectorParameters!E$26+SectorParameters!E$27*NationalDataLow!M47</f>
        <v>558.3446674641535</v>
      </c>
      <c r="L5" s="34">
        <f>SectorParameters!B$18+SectorParameters!B$19*NationalDataLow!N47</f>
        <v>262.2787248065</v>
      </c>
      <c r="N5" s="34">
        <f aca="true" t="shared" si="4" ref="N5:N32">ROUND(SUM(B5:L5),1)</f>
        <v>2353.2</v>
      </c>
      <c r="O5" s="34"/>
      <c r="P5">
        <f>AnnualFactorsLow!J6</f>
        <v>333.653</v>
      </c>
      <c r="Q5" s="34">
        <f aca="true" t="shared" si="5" ref="Q5:Q32">ROUND((N5+P5),1)</f>
        <v>2686.9</v>
      </c>
      <c r="R5" s="34">
        <f>ROUND((AnnualFactorsLow!G6*Q5),1)</f>
        <v>145.4</v>
      </c>
      <c r="S5" s="34">
        <f aca="true" t="shared" si="6" ref="S5:S32">Q5+R5</f>
        <v>2832.3</v>
      </c>
      <c r="T5" s="34">
        <f>ROUND(AnnualFactorsLow!K6,1)</f>
        <v>79.9</v>
      </c>
      <c r="U5" s="34">
        <f aca="true" t="shared" si="7" ref="U5:U32">S5+T5</f>
        <v>2912.2000000000003</v>
      </c>
      <c r="V5" s="34"/>
      <c r="W5" s="34">
        <f>ROUND(AnnualFactorsLow!B6*U5,1)</f>
        <v>174.7</v>
      </c>
      <c r="X5" s="34">
        <f aca="true" t="shared" si="8" ref="X5:X32">U5-W5</f>
        <v>2737.5000000000005</v>
      </c>
      <c r="Y5" s="60">
        <f>ROUND(AnnualFactorsLow!F6*X5,1)</f>
        <v>168.7</v>
      </c>
      <c r="Z5" s="34">
        <f aca="true" t="shared" si="9" ref="Z5:Z32">X5-Y5</f>
        <v>2568.8000000000006</v>
      </c>
      <c r="AB5" s="95">
        <f>AnnualFactorsLow!C6</f>
        <v>0.8038644051637518</v>
      </c>
      <c r="AC5" s="34">
        <f aca="true" t="shared" si="10" ref="AC5:AC32">ROUND((Z5/AB5),1)</f>
        <v>3195.6</v>
      </c>
      <c r="AD5" s="8">
        <f>AnnualFactorsLow!D6</f>
        <v>0.32297496515691293</v>
      </c>
      <c r="AE5" s="34">
        <f aca="true" t="shared" si="11" ref="AE5:AE32">ROUND(AC5*AD5,1)</f>
        <v>1032.1</v>
      </c>
      <c r="AF5" s="8">
        <f>AnnualFactorsLow!E6</f>
        <v>0.12984127025626177</v>
      </c>
      <c r="AG5">
        <f aca="true" t="shared" si="12" ref="AG5:AG32">ROUND(AC5*AF5,1)</f>
        <v>414.9</v>
      </c>
      <c r="AH5" s="34">
        <f aca="true" t="shared" si="13" ref="AH5:AH32">AC5+AE5+AG5</f>
        <v>4642.599999999999</v>
      </c>
      <c r="AI5">
        <f>ROUND(AnnualFactorsLow!H6*AH5,1)</f>
        <v>93.3</v>
      </c>
      <c r="AJ5" s="34">
        <f aca="true" t="shared" si="14" ref="AJ5:AJ32">AH5-AI5</f>
        <v>4549.299999999999</v>
      </c>
      <c r="AK5" s="9">
        <f>AnnualFactorsLow!I6</f>
        <v>2.607</v>
      </c>
      <c r="AL5" s="34">
        <f aca="true" t="shared" si="15" ref="AL5:AL32">ROUND(AJ5/AK5,1)</f>
        <v>1745</v>
      </c>
      <c r="AN5" s="96">
        <f aca="true" t="shared" si="16" ref="AN5:AN32">ROUND(4544.9/AH$2*AH5,1)</f>
        <v>4500.5</v>
      </c>
      <c r="AO5" s="96">
        <f aca="true" t="shared" si="17" ref="AO5:AO32">ROUND(91.5/AI$2*AI5,1)</f>
        <v>90.6</v>
      </c>
      <c r="AP5" s="96">
        <f aca="true" t="shared" si="18" ref="AP5:AP32">AN5-AO5</f>
        <v>4409.9</v>
      </c>
      <c r="AQ5" s="34">
        <f aca="true" t="shared" si="19" ref="AQ5:AQ32">AP5/AK5</f>
        <v>1691.561181434599</v>
      </c>
      <c r="AS5" s="60">
        <f t="shared" si="0"/>
        <v>1000.5096389953906</v>
      </c>
      <c r="AT5" s="60">
        <f t="shared" si="1"/>
        <v>3097.789557575497</v>
      </c>
      <c r="AU5" s="60">
        <f t="shared" si="2"/>
        <v>402.200803429113</v>
      </c>
      <c r="AV5" s="115">
        <f t="shared" si="3"/>
        <v>0.061625570776255696</v>
      </c>
    </row>
    <row r="6" spans="1:48" ht="12.75">
      <c r="A6">
        <v>2004</v>
      </c>
      <c r="B6" s="34">
        <f>SectorParameters!E$18+(SectorParameters!E$19*LN(A6))+SectorParameters!E$20*LN(NationalDataLow!C48)</f>
        <v>64.76636214549922</v>
      </c>
      <c r="C6" s="34">
        <f>SectorParameters!E$11+(SectorParameters!E$12*NationalDataLow!E48+SectorParameters!E$13*B6)</f>
        <v>112.21369628837428</v>
      </c>
      <c r="D6" s="34">
        <f>EXP(SectorParameters!B$11+SectorParameters!B$12*LN(NationalDataLow!D48))</f>
        <v>157.2895335329003</v>
      </c>
      <c r="E6" s="34">
        <f>SectorParameters!H$3+(SectorParameters!H$4*NationalDataLow!H48+SectorParameters!H$5*D5)</f>
        <v>150.85149834729768</v>
      </c>
      <c r="F6" s="34">
        <f>SectorParameters!H$11+SectorParameters!H$12*NationalDataLow!L48</f>
        <v>66.71501708896241</v>
      </c>
      <c r="G6" s="34">
        <f>SectorParameters!B$3+SectorParameters!B$4*NationalDataLow!F48</f>
        <v>404.4277296573956</v>
      </c>
      <c r="H6" s="34">
        <f>EXP(SectorParameters!E$3+SectorParameters!E$4*LN(G5)+SectorParameters!E$5*LN(NationalDataLow!G48))</f>
        <v>87.87557885257273</v>
      </c>
      <c r="I6" s="34">
        <f>SectorParameters!H$18+(SectorParameters!H$19*NationalDataLow!K48+SectorParameters!H$20*AH5)</f>
        <v>174.87582078236704</v>
      </c>
      <c r="J6" s="34">
        <f>SectorParameters!B$26+SectorParameters!B$27*NationalDataLow!J48</f>
        <v>345.8449315279355</v>
      </c>
      <c r="K6" s="34">
        <f>SectorParameters!E$26+SectorParameters!E$27*NationalDataLow!M48</f>
        <v>572.1631194444802</v>
      </c>
      <c r="L6" s="34">
        <f>SectorParameters!B$18+SectorParameters!B$19*NationalDataLow!N48</f>
        <v>263.577673024153</v>
      </c>
      <c r="N6" s="34">
        <f t="shared" si="4"/>
        <v>2400.6</v>
      </c>
      <c r="O6" s="34"/>
      <c r="P6">
        <f>AnnualFactorsLow!J7</f>
        <v>333.595</v>
      </c>
      <c r="Q6" s="34">
        <f t="shared" si="5"/>
        <v>2734.2</v>
      </c>
      <c r="R6" s="34">
        <f>ROUND((AnnualFactorsLow!G7*Q6),1)</f>
        <v>147.9</v>
      </c>
      <c r="S6" s="34">
        <f t="shared" si="6"/>
        <v>2882.1</v>
      </c>
      <c r="T6" s="34">
        <f>ROUND(AnnualFactorsLow!K7,1)</f>
        <v>80.2</v>
      </c>
      <c r="U6" s="34">
        <f t="shared" si="7"/>
        <v>2962.2999999999997</v>
      </c>
      <c r="V6" s="34"/>
      <c r="W6" s="34">
        <f>ROUND(AnnualFactorsLow!B7*U6,1)</f>
        <v>177.7</v>
      </c>
      <c r="X6" s="34">
        <f t="shared" si="8"/>
        <v>2784.6</v>
      </c>
      <c r="Y6" s="60">
        <f>ROUND(AnnualFactorsLow!F7*X6,1)</f>
        <v>172</v>
      </c>
      <c r="Z6" s="34">
        <f t="shared" si="9"/>
        <v>2612.6</v>
      </c>
      <c r="AB6" s="95">
        <f>AnnualFactorsLow!C7</f>
        <v>0.8103559912644992</v>
      </c>
      <c r="AC6" s="34">
        <f t="shared" si="10"/>
        <v>3224</v>
      </c>
      <c r="AD6" s="8">
        <f>AnnualFactorsLow!D7</f>
        <v>0.32047881064957573</v>
      </c>
      <c r="AE6" s="34">
        <f t="shared" si="11"/>
        <v>1033.2</v>
      </c>
      <c r="AF6" s="8">
        <f>AnnualFactorsLow!E7</f>
        <v>0.12962743657174847</v>
      </c>
      <c r="AG6">
        <f t="shared" si="12"/>
        <v>417.9</v>
      </c>
      <c r="AH6" s="34">
        <f t="shared" si="13"/>
        <v>4675.099999999999</v>
      </c>
      <c r="AI6">
        <f>ROUND(AnnualFactorsLow!H7*AH6,1)</f>
        <v>94</v>
      </c>
      <c r="AJ6" s="34">
        <f t="shared" si="14"/>
        <v>4581.099999999999</v>
      </c>
      <c r="AK6" s="9">
        <f>AnnualFactorsLow!I7</f>
        <v>2.607</v>
      </c>
      <c r="AL6" s="34">
        <f t="shared" si="15"/>
        <v>1757.2</v>
      </c>
      <c r="AN6" s="96">
        <f t="shared" si="16"/>
        <v>4532</v>
      </c>
      <c r="AO6" s="96">
        <f t="shared" si="17"/>
        <v>91.3</v>
      </c>
      <c r="AP6" s="96">
        <f t="shared" si="18"/>
        <v>4440.7</v>
      </c>
      <c r="AQ6" s="34">
        <f t="shared" si="19"/>
        <v>1703.37552742616</v>
      </c>
      <c r="AS6" s="60">
        <f t="shared" si="0"/>
        <v>1001.5748112339845</v>
      </c>
      <c r="AT6" s="60">
        <f t="shared" si="1"/>
        <v>3125.316677718124</v>
      </c>
      <c r="AU6" s="60">
        <f t="shared" si="2"/>
        <v>405.108511047892</v>
      </c>
      <c r="AV6" s="115">
        <f t="shared" si="3"/>
        <v>0.06176829706241471</v>
      </c>
    </row>
    <row r="7" spans="1:48" s="98" customFormat="1" ht="12.75">
      <c r="A7" s="98">
        <v>2005</v>
      </c>
      <c r="B7" s="100">
        <f>SectorParameters!E$18+(SectorParameters!E$19*LN(A7))+SectorParameters!E$20*LN(NationalDataLow!C49)</f>
        <v>63.78900109205915</v>
      </c>
      <c r="C7" s="100">
        <f>SectorParameters!E$11+(SectorParameters!E$12*NationalDataLow!E49+SectorParameters!E$13*B7)</f>
        <v>114.48033142412757</v>
      </c>
      <c r="D7" s="100">
        <f>EXP(SectorParameters!B$11+SectorParameters!B$12*LN(NationalDataLow!D49))</f>
        <v>160.16074986295118</v>
      </c>
      <c r="E7" s="100">
        <f>SectorParameters!H$3+(SectorParameters!H$4*NationalDataLow!H49+SectorParameters!H$5*D6)</f>
        <v>151.9765765986453</v>
      </c>
      <c r="F7" s="100">
        <f>SectorParameters!H$11+SectorParameters!H$12*NationalDataLow!L49</f>
        <v>67.26051035410624</v>
      </c>
      <c r="G7" s="100">
        <f>SectorParameters!B$3+SectorParameters!B$4*NationalDataLow!F49</f>
        <v>409.6914849013466</v>
      </c>
      <c r="H7" s="100">
        <f>EXP(SectorParameters!E$3+SectorParameters!E$4*LN(G6)+SectorParameters!E$5*LN(NationalDataLow!G49))</f>
        <v>89.45294129994073</v>
      </c>
      <c r="I7" s="100">
        <f>SectorParameters!H$18+(SectorParameters!H$19*NationalDataLow!K49+SectorParameters!H$20*AH6)</f>
        <v>178.3425508090079</v>
      </c>
      <c r="J7" s="100">
        <f>SectorParameters!B$26+SectorParameters!B$27*NationalDataLow!J49</f>
        <v>364.9405488611333</v>
      </c>
      <c r="K7" s="100">
        <f>SectorParameters!E$26+SectorParameters!E$27*NationalDataLow!M49</f>
        <v>586.4625934874131</v>
      </c>
      <c r="L7" s="100">
        <f>SectorParameters!B$18+SectorParameters!B$19*NationalDataLow!N49</f>
        <v>264.81652269125215</v>
      </c>
      <c r="N7" s="100">
        <f t="shared" si="4"/>
        <v>2451.4</v>
      </c>
      <c r="O7" s="100"/>
      <c r="P7" s="98">
        <f>AnnualFactorsLow!J8</f>
        <v>333.311</v>
      </c>
      <c r="Q7" s="100">
        <f t="shared" si="5"/>
        <v>2784.7</v>
      </c>
      <c r="R7" s="100">
        <f>ROUND((AnnualFactorsLow!G8*Q7),1)</f>
        <v>150.7</v>
      </c>
      <c r="S7" s="100">
        <f t="shared" si="6"/>
        <v>2935.3999999999996</v>
      </c>
      <c r="T7" s="100">
        <f>ROUND(AnnualFactorsLow!K8,1)</f>
        <v>80.6</v>
      </c>
      <c r="U7" s="100">
        <f t="shared" si="7"/>
        <v>3015.9999999999995</v>
      </c>
      <c r="V7" s="100"/>
      <c r="W7" s="100">
        <f>ROUND(AnnualFactorsLow!B8*U7,1)</f>
        <v>181</v>
      </c>
      <c r="X7" s="100">
        <f t="shared" si="8"/>
        <v>2834.9999999999995</v>
      </c>
      <c r="Y7" s="100">
        <f>ROUND(AnnualFactorsLow!F8*X7,1)</f>
        <v>175.5</v>
      </c>
      <c r="Z7" s="100">
        <f t="shared" si="9"/>
        <v>2659.4999999999995</v>
      </c>
      <c r="AB7" s="101">
        <f>AnnualFactorsLow!C8</f>
        <v>0.8169000000000001</v>
      </c>
      <c r="AC7" s="100">
        <f t="shared" si="10"/>
        <v>3255.6</v>
      </c>
      <c r="AD7" s="102">
        <f>AnnualFactorsLow!D8</f>
        <v>0.3180019480007313</v>
      </c>
      <c r="AE7" s="100">
        <f t="shared" si="11"/>
        <v>1035.3</v>
      </c>
      <c r="AF7" s="102">
        <f>AnnualFactorsLow!E8</f>
        <v>0.12941395504679543</v>
      </c>
      <c r="AG7" s="98">
        <f t="shared" si="12"/>
        <v>421.3</v>
      </c>
      <c r="AH7" s="100">
        <f t="shared" si="13"/>
        <v>4712.2</v>
      </c>
      <c r="AI7" s="98">
        <f>ROUND(AnnualFactorsLow!H8*AH7,1)</f>
        <v>94.7</v>
      </c>
      <c r="AJ7" s="100">
        <f t="shared" si="14"/>
        <v>4617.5</v>
      </c>
      <c r="AK7" s="103">
        <f>AnnualFactorsLow!I8</f>
        <v>2.62</v>
      </c>
      <c r="AL7" s="100">
        <f t="shared" si="15"/>
        <v>1762.4</v>
      </c>
      <c r="AN7" s="104">
        <f t="shared" si="16"/>
        <v>4568</v>
      </c>
      <c r="AO7" s="104">
        <f t="shared" si="17"/>
        <v>92</v>
      </c>
      <c r="AP7" s="104">
        <f t="shared" si="18"/>
        <v>4476</v>
      </c>
      <c r="AQ7" s="100">
        <f t="shared" si="19"/>
        <v>1708.3969465648854</v>
      </c>
      <c r="AS7" s="100">
        <f t="shared" si="0"/>
        <v>1003.6183523619541</v>
      </c>
      <c r="AT7" s="100">
        <f t="shared" si="1"/>
        <v>3155.97402487161</v>
      </c>
      <c r="AU7" s="100">
        <f t="shared" si="2"/>
        <v>408.4076227664361</v>
      </c>
      <c r="AV7" s="115">
        <f t="shared" si="3"/>
        <v>0.061904761904761914</v>
      </c>
    </row>
    <row r="8" spans="1:48" ht="12.75">
      <c r="A8">
        <v>2006</v>
      </c>
      <c r="B8" s="34">
        <f>SectorParameters!E$18+(SectorParameters!E$19*LN(A8))+SectorParameters!E$20*LN(NationalDataLow!C50)</f>
        <v>62.780706473945315</v>
      </c>
      <c r="C8" s="34">
        <f>SectorParameters!E$11+(SectorParameters!E$12*NationalDataLow!E50+SectorParameters!E$13*B8)</f>
        <v>116.72552508500058</v>
      </c>
      <c r="D8" s="34">
        <f>EXP(SectorParameters!B$11+SectorParameters!B$12*LN(NationalDataLow!D50))</f>
        <v>163.01816734401112</v>
      </c>
      <c r="E8" s="34">
        <f>SectorParameters!H$3+(SectorParameters!H$4*NationalDataLow!H50+SectorParameters!H$5*D7)</f>
        <v>153.09323781482544</v>
      </c>
      <c r="F8" s="34">
        <f>SectorParameters!H$11+SectorParameters!H$12*NationalDataLow!L50</f>
        <v>67.77074359830922</v>
      </c>
      <c r="G8" s="34">
        <f>SectorParameters!B$3+SectorParameters!B$4*NationalDataLow!F50</f>
        <v>414.93191232845186</v>
      </c>
      <c r="H8" s="34">
        <f>EXP(SectorParameters!E$3+SectorParameters!E$4*LN(G7)+SectorParameters!E$5*LN(NationalDataLow!G50))</f>
        <v>91.04988973768926</v>
      </c>
      <c r="I8" s="34">
        <f>SectorParameters!H$18+(SectorParameters!H$19*NationalDataLow!K50+SectorParameters!H$20*AH7)</f>
        <v>181.90047791091342</v>
      </c>
      <c r="J8" s="34">
        <f>SectorParameters!B$26+SectorParameters!B$27*NationalDataLow!J50</f>
        <v>384.7789807357755</v>
      </c>
      <c r="K8" s="34">
        <f>SectorParameters!E$26+SectorParameters!E$27*NationalDataLow!M50</f>
        <v>601.3378363628595</v>
      </c>
      <c r="L8" s="34">
        <f>SectorParameters!B$18+SectorParameters!B$19*NationalDataLow!N50</f>
        <v>266.0198595784785</v>
      </c>
      <c r="N8" s="34">
        <f t="shared" si="4"/>
        <v>2503.4</v>
      </c>
      <c r="O8" s="34"/>
      <c r="P8">
        <f>AnnualFactorsLow!J9</f>
        <v>333.08099999999996</v>
      </c>
      <c r="Q8" s="34">
        <f t="shared" si="5"/>
        <v>2836.5</v>
      </c>
      <c r="R8" s="34">
        <f>ROUND((AnnualFactorsLow!G9*Q8),1)</f>
        <v>153.5</v>
      </c>
      <c r="S8" s="34">
        <f t="shared" si="6"/>
        <v>2990</v>
      </c>
      <c r="T8" s="34">
        <f>ROUND(AnnualFactorsLow!K9,1)</f>
        <v>80.9</v>
      </c>
      <c r="U8" s="34">
        <f t="shared" si="7"/>
        <v>3070.9</v>
      </c>
      <c r="V8" s="34"/>
      <c r="W8" s="34">
        <f>ROUND(AnnualFactorsLow!B9*U8,1)</f>
        <v>184.3</v>
      </c>
      <c r="X8" s="34">
        <f t="shared" si="8"/>
        <v>2886.6</v>
      </c>
      <c r="Y8" s="60">
        <f>ROUND(AnnualFactorsLow!F9*X8,1)</f>
        <v>179.1</v>
      </c>
      <c r="Z8" s="34">
        <f t="shared" si="9"/>
        <v>2707.5</v>
      </c>
      <c r="AB8" s="95">
        <f>AnnualFactorsLow!C9</f>
        <v>0.8193057880124447</v>
      </c>
      <c r="AC8" s="34">
        <f t="shared" si="10"/>
        <v>3304.6</v>
      </c>
      <c r="AD8" s="8">
        <f>AnnualFactorsLow!D9</f>
        <v>0.3157410842488296</v>
      </c>
      <c r="AE8" s="34">
        <f t="shared" si="11"/>
        <v>1043.4</v>
      </c>
      <c r="AF8" s="8">
        <f>AnnualFactorsLow!E9</f>
        <v>0.1306926743092846</v>
      </c>
      <c r="AG8">
        <f t="shared" si="12"/>
        <v>431.9</v>
      </c>
      <c r="AH8" s="34">
        <f t="shared" si="13"/>
        <v>4779.9</v>
      </c>
      <c r="AI8">
        <f>ROUND(AnnualFactorsLow!H9*AH8,1)</f>
        <v>96.3</v>
      </c>
      <c r="AJ8" s="34">
        <f t="shared" si="14"/>
        <v>4683.599999999999</v>
      </c>
      <c r="AK8" s="9">
        <f>AnnualFactorsLow!I9</f>
        <v>2.6159877300180807</v>
      </c>
      <c r="AL8" s="34">
        <f t="shared" si="15"/>
        <v>1790.4</v>
      </c>
      <c r="AN8" s="96">
        <f t="shared" si="16"/>
        <v>4633.6</v>
      </c>
      <c r="AO8" s="96">
        <f t="shared" si="17"/>
        <v>93.5</v>
      </c>
      <c r="AP8" s="96">
        <f t="shared" si="18"/>
        <v>4540.1</v>
      </c>
      <c r="AQ8" s="34">
        <f t="shared" si="19"/>
        <v>1735.520372631343</v>
      </c>
      <c r="AS8" s="60">
        <f t="shared" si="0"/>
        <v>1011.464306784661</v>
      </c>
      <c r="AT8" s="60">
        <f t="shared" si="1"/>
        <v>3203.455001150652</v>
      </c>
      <c r="AU8" s="60">
        <f t="shared" si="2"/>
        <v>418.6806920646876</v>
      </c>
      <c r="AV8" s="115">
        <f t="shared" si="3"/>
        <v>0.06204531282477655</v>
      </c>
    </row>
    <row r="9" spans="1:48" ht="12.75">
      <c r="A9">
        <v>2007</v>
      </c>
      <c r="B9" s="34">
        <f>SectorParameters!E$18+(SectorParameters!E$19*LN(A9))+SectorParameters!E$20*LN(NationalDataLow!C51)</f>
        <v>61.761306530497336</v>
      </c>
      <c r="C9" s="34">
        <f>SectorParameters!E$11+(SectorParameters!E$12*NationalDataLow!E51+SectorParameters!E$13*B9)</f>
        <v>118.96191728036652</v>
      </c>
      <c r="D9" s="34">
        <f>EXP(SectorParameters!B$11+SectorParameters!B$12*LN(NationalDataLow!D51))</f>
        <v>165.8614694907347</v>
      </c>
      <c r="E9" s="34">
        <f>SectorParameters!H$3+(SectorParameters!H$4*NationalDataLow!H51+SectorParameters!H$5*D8)</f>
        <v>154.18708544063634</v>
      </c>
      <c r="F9" s="34">
        <f>SectorParameters!H$11+SectorParameters!H$12*NationalDataLow!L51</f>
        <v>68.2498650593291</v>
      </c>
      <c r="G9" s="34">
        <f>SectorParameters!B$3+SectorParameters!B$4*NationalDataLow!F51</f>
        <v>420.1523444839752</v>
      </c>
      <c r="H9" s="34">
        <f>EXP(SectorParameters!E$3+SectorParameters!E$4*LN(G8)+SectorParameters!E$5*LN(NationalDataLow!G51))</f>
        <v>92.64730145618105</v>
      </c>
      <c r="I9" s="34">
        <f>SectorParameters!H$18+(SectorParameters!H$19*NationalDataLow!K51+SectorParameters!H$20*AH8)</f>
        <v>186.7534332128816</v>
      </c>
      <c r="J9" s="34">
        <f>SectorParameters!B$26+SectorParameters!B$27*NationalDataLow!J51</f>
        <v>405.3913072581987</v>
      </c>
      <c r="K9" s="34">
        <f>SectorParameters!E$26+SectorParameters!E$27*NationalDataLow!M51</f>
        <v>616.7232541531915</v>
      </c>
      <c r="L9" s="34">
        <f>SectorParameters!B$18+SectorParameters!B$19*NationalDataLow!N51</f>
        <v>267.19314719042796</v>
      </c>
      <c r="N9" s="34">
        <f t="shared" si="4"/>
        <v>2557.9</v>
      </c>
      <c r="O9" s="34"/>
      <c r="P9">
        <f>AnnualFactorsLow!J10</f>
        <v>332.88699999999994</v>
      </c>
      <c r="Q9" s="34">
        <f t="shared" si="5"/>
        <v>2890.8</v>
      </c>
      <c r="R9" s="34">
        <f>ROUND((AnnualFactorsLow!G10*Q9),1)</f>
        <v>156.4</v>
      </c>
      <c r="S9" s="34">
        <f t="shared" si="6"/>
        <v>3047.2000000000003</v>
      </c>
      <c r="T9" s="34">
        <f>ROUND(AnnualFactorsLow!K10,1)</f>
        <v>81.2</v>
      </c>
      <c r="U9" s="34">
        <f t="shared" si="7"/>
        <v>3128.4</v>
      </c>
      <c r="V9" s="34"/>
      <c r="W9" s="34">
        <f>ROUND(AnnualFactorsLow!B10*U9,1)</f>
        <v>187.7</v>
      </c>
      <c r="X9" s="34">
        <f t="shared" si="8"/>
        <v>2940.7000000000003</v>
      </c>
      <c r="Y9" s="60">
        <f>ROUND(AnnualFactorsLow!F10*X9,1)</f>
        <v>182.8</v>
      </c>
      <c r="Z9" s="34">
        <f t="shared" si="9"/>
        <v>2757.9</v>
      </c>
      <c r="AB9" s="95">
        <f>AnnualFactorsLow!C10</f>
        <v>0.8217186611221605</v>
      </c>
      <c r="AC9" s="34">
        <f t="shared" si="10"/>
        <v>3356.3</v>
      </c>
      <c r="AD9" s="8">
        <f>AnnualFactorsLow!D10</f>
        <v>0.3134962943132576</v>
      </c>
      <c r="AE9" s="34">
        <f t="shared" si="11"/>
        <v>1052.2</v>
      </c>
      <c r="AF9" s="8">
        <f>AnnualFactorsLow!E10</f>
        <v>0.1319840283989195</v>
      </c>
      <c r="AG9">
        <f t="shared" si="12"/>
        <v>443</v>
      </c>
      <c r="AH9" s="34">
        <f t="shared" si="13"/>
        <v>4851.5</v>
      </c>
      <c r="AI9">
        <f>ROUND(AnnualFactorsLow!H10*AH9,1)</f>
        <v>97.9</v>
      </c>
      <c r="AJ9" s="34">
        <f t="shared" si="14"/>
        <v>4753.6</v>
      </c>
      <c r="AK9" s="9">
        <f>AnnualFactorsLow!I10</f>
        <v>2.611981604429447</v>
      </c>
      <c r="AL9" s="34">
        <f t="shared" si="15"/>
        <v>1819.9</v>
      </c>
      <c r="AN9" s="96">
        <f t="shared" si="16"/>
        <v>4703</v>
      </c>
      <c r="AO9" s="96">
        <f t="shared" si="17"/>
        <v>95.1</v>
      </c>
      <c r="AP9" s="96">
        <f t="shared" si="18"/>
        <v>4607.9</v>
      </c>
      <c r="AQ9" s="34">
        <f t="shared" si="19"/>
        <v>1764.1395299973924</v>
      </c>
      <c r="AS9" s="60">
        <f t="shared" si="0"/>
        <v>1019.993115531279</v>
      </c>
      <c r="AT9" s="60">
        <f t="shared" si="1"/>
        <v>3253.566711326394</v>
      </c>
      <c r="AU9" s="60">
        <f t="shared" si="2"/>
        <v>429.4401731423271</v>
      </c>
      <c r="AV9" s="115">
        <f t="shared" si="3"/>
        <v>0.06216207025538137</v>
      </c>
    </row>
    <row r="10" spans="1:48" ht="12.75">
      <c r="A10">
        <v>2008</v>
      </c>
      <c r="B10" s="34">
        <f>SectorParameters!E$18+(SectorParameters!E$19*LN(A10))+SectorParameters!E$20*LN(NationalDataLow!C52)</f>
        <v>60.72060598227927</v>
      </c>
      <c r="C10" s="34">
        <f>SectorParameters!E$11+(SectorParameters!E$12*NationalDataLow!E52+SectorParameters!E$13*B10)</f>
        <v>121.1830087731814</v>
      </c>
      <c r="D10" s="34">
        <f>EXP(SectorParameters!B$11+SectorParameters!B$12*LN(NationalDataLow!D52))</f>
        <v>168.69323098615916</v>
      </c>
      <c r="E10" s="34">
        <f>SectorParameters!H$3+(SectorParameters!H$4*NationalDataLow!H52+SectorParameters!H$5*D9)</f>
        <v>155.25806733064655</v>
      </c>
      <c r="F10" s="34">
        <f>SectorParameters!H$11+SectorParameters!H$12*NationalDataLow!L52</f>
        <v>68.69994885604473</v>
      </c>
      <c r="G10" s="34">
        <f>SectorParameters!B$3+SectorParameters!B$4*NationalDataLow!F52</f>
        <v>425.3611127310757</v>
      </c>
      <c r="H10" s="34">
        <f>EXP(SectorParameters!E$3+SectorParameters!E$4*LN(G9)+SectorParameters!E$5*LN(NationalDataLow!G52))</f>
        <v>94.24697823304173</v>
      </c>
      <c r="I10" s="34">
        <f>SectorParameters!H$18+(SectorParameters!H$19*NationalDataLow!K52+SectorParameters!H$20*AH9)</f>
        <v>191.68506566621812</v>
      </c>
      <c r="J10" s="34">
        <f>SectorParameters!B$26+SectorParameters!B$27*NationalDataLow!J52</f>
        <v>426.7899604709375</v>
      </c>
      <c r="K10" s="34">
        <f>SectorParameters!E$26+SectorParameters!E$27*NationalDataLow!M52</f>
        <v>632.6042704322695</v>
      </c>
      <c r="L10" s="34">
        <f>SectorParameters!B$18+SectorParameters!B$19*NationalDataLow!N52</f>
        <v>268.3391172793984</v>
      </c>
      <c r="N10" s="34">
        <f t="shared" si="4"/>
        <v>2613.6</v>
      </c>
      <c r="O10" s="34"/>
      <c r="P10">
        <f>AnnualFactorsLow!J11</f>
        <v>332.715</v>
      </c>
      <c r="Q10" s="34">
        <f t="shared" si="5"/>
        <v>2946.3</v>
      </c>
      <c r="R10" s="34">
        <f>ROUND((AnnualFactorsLow!G11*Q10),1)</f>
        <v>159.4</v>
      </c>
      <c r="S10" s="34">
        <f t="shared" si="6"/>
        <v>3105.7000000000003</v>
      </c>
      <c r="T10" s="34">
        <f>ROUND(AnnualFactorsLow!K11,1)</f>
        <v>81.5</v>
      </c>
      <c r="U10" s="34">
        <f t="shared" si="7"/>
        <v>3187.2000000000003</v>
      </c>
      <c r="V10" s="34"/>
      <c r="W10" s="34">
        <f>ROUND(AnnualFactorsLow!B11*U10,1)</f>
        <v>191.2</v>
      </c>
      <c r="X10" s="34">
        <f t="shared" si="8"/>
        <v>2996.0000000000005</v>
      </c>
      <c r="Y10" s="60">
        <f>ROUND(AnnualFactorsLow!F11*X10,1)</f>
        <v>186.7</v>
      </c>
      <c r="Z10" s="34">
        <f t="shared" si="9"/>
        <v>2809.3000000000006</v>
      </c>
      <c r="AB10" s="95">
        <f>AnnualFactorsLow!C11</f>
        <v>0.8241386401949109</v>
      </c>
      <c r="AC10" s="34">
        <f t="shared" si="10"/>
        <v>3408.8</v>
      </c>
      <c r="AD10" s="8">
        <f>AnnualFactorsLow!D11</f>
        <v>0.3112674639157572</v>
      </c>
      <c r="AE10" s="34">
        <f t="shared" si="11"/>
        <v>1061</v>
      </c>
      <c r="AF10" s="8">
        <f>AnnualFactorsLow!E11</f>
        <v>0.13328814215847187</v>
      </c>
      <c r="AG10">
        <f t="shared" si="12"/>
        <v>454.4</v>
      </c>
      <c r="AH10" s="34">
        <f t="shared" si="13"/>
        <v>4924.2</v>
      </c>
      <c r="AI10">
        <f>ROUND(AnnualFactorsLow!H11*AH10,1)</f>
        <v>99.6</v>
      </c>
      <c r="AJ10" s="34">
        <f t="shared" si="14"/>
        <v>4824.599999999999</v>
      </c>
      <c r="AK10" s="9">
        <f>AnnualFactorsLow!I11</f>
        <v>2.60798161382457</v>
      </c>
      <c r="AL10" s="34">
        <f t="shared" si="15"/>
        <v>1849.9</v>
      </c>
      <c r="AN10" s="96">
        <f t="shared" si="16"/>
        <v>4773.5</v>
      </c>
      <c r="AO10" s="96">
        <f t="shared" si="17"/>
        <v>96.7</v>
      </c>
      <c r="AP10" s="96">
        <f t="shared" si="18"/>
        <v>4676.8</v>
      </c>
      <c r="AQ10" s="34">
        <f t="shared" si="19"/>
        <v>1793.2641761003583</v>
      </c>
      <c r="AS10" s="60">
        <f t="shared" si="0"/>
        <v>1028.529202713131</v>
      </c>
      <c r="AT10" s="60">
        <f t="shared" si="1"/>
        <v>3304.4772348807933</v>
      </c>
      <c r="AU10" s="60">
        <f t="shared" si="2"/>
        <v>440.49356240607614</v>
      </c>
      <c r="AV10" s="115">
        <f t="shared" si="3"/>
        <v>0.06231642189586113</v>
      </c>
    </row>
    <row r="11" spans="1:48" ht="12.75">
      <c r="A11">
        <v>2009</v>
      </c>
      <c r="B11" s="34">
        <f>SectorParameters!E$18+(SectorParameters!E$19*LN(A11))+SectorParameters!E$20*LN(NationalDataLow!C53)</f>
        <v>59.668518378393514</v>
      </c>
      <c r="C11" s="34">
        <f>SectorParameters!E$11+(SectorParameters!E$12*NationalDataLow!E53+SectorParameters!E$13*B11)</f>
        <v>123.39339710756988</v>
      </c>
      <c r="D11" s="34">
        <f>EXP(SectorParameters!B$11+SectorParameters!B$12*LN(NationalDataLow!D53))</f>
        <v>171.51606897763085</v>
      </c>
      <c r="E11" s="34">
        <f>SectorParameters!H$3+(SectorParameters!H$4*NationalDataLow!H53+SectorParameters!H$5*D10)</f>
        <v>156.3083193698467</v>
      </c>
      <c r="F11" s="34">
        <f>SectorParameters!H$11+SectorParameters!H$12*NationalDataLow!L53</f>
        <v>69.123069107335</v>
      </c>
      <c r="G11" s="34">
        <f>SectorParameters!B$3+SectorParameters!B$4*NationalDataLow!F53</f>
        <v>430.5565507971216</v>
      </c>
      <c r="H11" s="34">
        <f>EXP(SectorParameters!E$3+SectorParameters!E$4*LN(G10)+SectorParameters!E$5*LN(NationalDataLow!G53))</f>
        <v>95.85010642340829</v>
      </c>
      <c r="I11" s="34">
        <f>SectorParameters!H$18+(SectorParameters!H$19*NationalDataLow!K53+SectorParameters!H$20*AH10)</f>
        <v>196.5730491819424</v>
      </c>
      <c r="J11" s="34">
        <f>SectorParameters!B$26+SectorParameters!B$27*NationalDataLow!J53</f>
        <v>449.00291246969476</v>
      </c>
      <c r="K11" s="34">
        <f>SectorParameters!E$26+SectorParameters!E$27*NationalDataLow!M53</f>
        <v>648.918935389</v>
      </c>
      <c r="L11" s="34">
        <f>SectorParameters!B$18+SectorParameters!B$19*NationalDataLow!N53</f>
        <v>269.46050159768765</v>
      </c>
      <c r="N11" s="34">
        <f t="shared" si="4"/>
        <v>2670.4</v>
      </c>
      <c r="O11" s="34"/>
      <c r="P11">
        <f>AnnualFactorsLow!J12</f>
        <v>332.56</v>
      </c>
      <c r="Q11" s="34">
        <f t="shared" si="5"/>
        <v>3003</v>
      </c>
      <c r="R11" s="34">
        <f>ROUND((AnnualFactorsLow!G12*Q11),1)</f>
        <v>162.5</v>
      </c>
      <c r="S11" s="34">
        <f t="shared" si="6"/>
        <v>3165.5</v>
      </c>
      <c r="T11" s="34">
        <f>ROUND(AnnualFactorsLow!K12,1)</f>
        <v>81.7</v>
      </c>
      <c r="U11" s="34">
        <f t="shared" si="7"/>
        <v>3247.2</v>
      </c>
      <c r="V11" s="34"/>
      <c r="W11" s="34">
        <f>ROUND(AnnualFactorsLow!B12*U11,1)</f>
        <v>194.8</v>
      </c>
      <c r="X11" s="34">
        <f t="shared" si="8"/>
        <v>3052.3999999999996</v>
      </c>
      <c r="Y11" s="60">
        <f>ROUND(AnnualFactorsLow!F12*X11,1)</f>
        <v>190.7</v>
      </c>
      <c r="Z11" s="34">
        <f t="shared" si="9"/>
        <v>2861.7</v>
      </c>
      <c r="AB11" s="95">
        <f>AnnualFactorsLow!C12</f>
        <v>0.8265657461579092</v>
      </c>
      <c r="AC11" s="34">
        <f t="shared" si="10"/>
        <v>3462.2</v>
      </c>
      <c r="AD11" s="8">
        <f>AnnualFactorsLow!D12</f>
        <v>0.309054479590542</v>
      </c>
      <c r="AE11" s="34">
        <f t="shared" si="11"/>
        <v>1070</v>
      </c>
      <c r="AF11" s="8">
        <f>AnnualFactorsLow!E12</f>
        <v>0.13460514166426554</v>
      </c>
      <c r="AG11">
        <f t="shared" si="12"/>
        <v>466</v>
      </c>
      <c r="AH11" s="34">
        <f t="shared" si="13"/>
        <v>4998.2</v>
      </c>
      <c r="AI11">
        <f>ROUND(AnnualFactorsLow!H12*AH11,1)</f>
        <v>101.3</v>
      </c>
      <c r="AJ11" s="34">
        <f t="shared" si="14"/>
        <v>4896.9</v>
      </c>
      <c r="AK11" s="9">
        <f>AnnualFactorsLow!I12</f>
        <v>2.603987748808331</v>
      </c>
      <c r="AL11" s="34">
        <f t="shared" si="15"/>
        <v>1880.5</v>
      </c>
      <c r="AN11" s="96">
        <f t="shared" si="16"/>
        <v>4845.2</v>
      </c>
      <c r="AO11" s="96">
        <f t="shared" si="17"/>
        <v>98.4</v>
      </c>
      <c r="AP11" s="96">
        <f t="shared" si="18"/>
        <v>4746.8</v>
      </c>
      <c r="AQ11" s="34">
        <f t="shared" si="19"/>
        <v>1822.8964411112493</v>
      </c>
      <c r="AS11" s="60">
        <f t="shared" si="0"/>
        <v>1037.2462086351086</v>
      </c>
      <c r="AT11" s="60">
        <f t="shared" si="1"/>
        <v>3356.218526669601</v>
      </c>
      <c r="AU11" s="60">
        <f t="shared" si="2"/>
        <v>451.73526469529025</v>
      </c>
      <c r="AV11" s="115">
        <f t="shared" si="3"/>
        <v>0.0624754291704888</v>
      </c>
    </row>
    <row r="12" spans="1:48" s="98" customFormat="1" ht="12.75">
      <c r="A12" s="98">
        <v>2010</v>
      </c>
      <c r="B12" s="100">
        <f>SectorParameters!E$18+(SectorParameters!E$19*LN(A12))+SectorParameters!E$20*LN(NationalDataLow!C54)</f>
        <v>58.49311539490952</v>
      </c>
      <c r="C12" s="100">
        <f>SectorParameters!E$11+(SectorParameters!E$12*NationalDataLow!E54+SectorParameters!E$13*B12)</f>
        <v>125.47695624329643</v>
      </c>
      <c r="D12" s="100">
        <f>EXP(SectorParameters!B$11+SectorParameters!B$12*LN(NationalDataLow!D54))</f>
        <v>174.52688572757913</v>
      </c>
      <c r="E12" s="100">
        <f>SectorParameters!H$3+(SectorParameters!H$4*NationalDataLow!H54+SectorParameters!H$5*D11)</f>
        <v>157.52826809461288</v>
      </c>
      <c r="F12" s="100">
        <f>SectorParameters!H$11+SectorParameters!H$12*NationalDataLow!L54</f>
        <v>69.52337405095766</v>
      </c>
      <c r="G12" s="100">
        <f>SectorParameters!B$3+SectorParameters!B$4*NationalDataLow!F54</f>
        <v>436.1702232937568</v>
      </c>
      <c r="H12" s="100">
        <f>EXP(SectorParameters!E$3+SectorParameters!E$4*LN(G11)+SectorParameters!E$5*LN(NationalDataLow!G54))</f>
        <v>97.50240235499416</v>
      </c>
      <c r="I12" s="100">
        <f>SectorParameters!H$18+(SectorParameters!H$19*NationalDataLow!K54+SectorParameters!H$20*AH11)</f>
        <v>201.50933370166024</v>
      </c>
      <c r="J12" s="100">
        <f>SectorParameters!B$26+SectorParameters!B$27*NationalDataLow!J54</f>
        <v>472.75432973211304</v>
      </c>
      <c r="K12" s="100">
        <f>SectorParameters!E$26+SectorParameters!E$27*NationalDataLow!M54</f>
        <v>667.8282041985767</v>
      </c>
      <c r="L12" s="100">
        <f>SectorParameters!B$18+SectorParameters!B$19*NationalDataLow!N54</f>
        <v>270.5600318975937</v>
      </c>
      <c r="N12" s="100">
        <f t="shared" si="4"/>
        <v>2731.9</v>
      </c>
      <c r="O12" s="100"/>
      <c r="P12" s="98">
        <f>AnnualFactorsLow!J13</f>
        <v>332.41400000000004</v>
      </c>
      <c r="Q12" s="100">
        <f t="shared" si="5"/>
        <v>3064.3</v>
      </c>
      <c r="R12" s="100">
        <f>ROUND((AnnualFactorsLow!G13*Q12),1)</f>
        <v>165.8</v>
      </c>
      <c r="S12" s="100">
        <f t="shared" si="6"/>
        <v>3230.1000000000004</v>
      </c>
      <c r="T12" s="100">
        <f>ROUND(AnnualFactorsLow!K13,1)</f>
        <v>82</v>
      </c>
      <c r="U12" s="100">
        <f t="shared" si="7"/>
        <v>3312.1000000000004</v>
      </c>
      <c r="V12" s="100"/>
      <c r="W12" s="100">
        <f>ROUND(AnnualFactorsLow!B13*U12,1)</f>
        <v>198.7</v>
      </c>
      <c r="X12" s="100">
        <f t="shared" si="8"/>
        <v>3113.4000000000005</v>
      </c>
      <c r="Y12" s="100">
        <f>ROUND(AnnualFactorsLow!F13*X12,1)</f>
        <v>194.9</v>
      </c>
      <c r="Z12" s="100">
        <f t="shared" si="9"/>
        <v>2918.5000000000005</v>
      </c>
      <c r="AB12" s="101">
        <f>AnnualFactorsLow!C13</f>
        <v>0.8290000000000001</v>
      </c>
      <c r="AC12" s="100">
        <f t="shared" si="10"/>
        <v>3520.5</v>
      </c>
      <c r="AD12" s="102">
        <f>AnnualFactorsLow!D13</f>
        <v>0.3068572286785209</v>
      </c>
      <c r="AE12" s="100">
        <f t="shared" si="11"/>
        <v>1080.3</v>
      </c>
      <c r="AF12" s="102">
        <f>AnnualFactorsLow!E13</f>
        <v>0.13593515423836502</v>
      </c>
      <c r="AG12" s="98">
        <f t="shared" si="12"/>
        <v>478.6</v>
      </c>
      <c r="AH12" s="100">
        <f t="shared" si="13"/>
        <v>5079.400000000001</v>
      </c>
      <c r="AI12" s="98">
        <f>ROUND(AnnualFactorsLow!H13*AH12,1)</f>
        <v>103.1</v>
      </c>
      <c r="AJ12" s="100">
        <f t="shared" si="14"/>
        <v>4976.3</v>
      </c>
      <c r="AK12" s="103">
        <f>AnnualFactorsLow!I13</f>
        <v>2.6</v>
      </c>
      <c r="AL12" s="100">
        <f t="shared" si="15"/>
        <v>1914</v>
      </c>
      <c r="AN12" s="104">
        <f t="shared" si="16"/>
        <v>4923.9</v>
      </c>
      <c r="AO12" s="104">
        <f t="shared" si="17"/>
        <v>100.1</v>
      </c>
      <c r="AP12" s="104">
        <f t="shared" si="18"/>
        <v>4823.799999999999</v>
      </c>
      <c r="AQ12" s="100">
        <f t="shared" si="19"/>
        <v>1855.307692307692</v>
      </c>
      <c r="AS12" s="100">
        <f t="shared" si="0"/>
        <v>1047.2278556522422</v>
      </c>
      <c r="AT12" s="100">
        <f t="shared" si="1"/>
        <v>3412.7239339292037</v>
      </c>
      <c r="AU12" s="100">
        <f t="shared" si="2"/>
        <v>463.9482104185533</v>
      </c>
      <c r="AV12" s="115">
        <f t="shared" si="3"/>
        <v>0.0626003725830282</v>
      </c>
    </row>
    <row r="13" spans="1:48" ht="12.75">
      <c r="A13">
        <v>2011</v>
      </c>
      <c r="B13" s="34">
        <f>SectorParameters!E$18+(SectorParameters!E$19*LN(A13))+SectorParameters!E$20*LN(NationalDataLow!X55)</f>
        <v>57.32562297264394</v>
      </c>
      <c r="C13" s="34">
        <f>SectorParameters!E$11+(SectorParameters!E$12*NationalDataLow!Z55+SectorParameters!E$13*B13)</f>
        <v>126.05011294635122</v>
      </c>
      <c r="D13" s="34">
        <f>EXP(SectorParameters!B$11+SectorParameters!B$12*LN(NationalDataLow!Y55))</f>
        <v>175.33326293866554</v>
      </c>
      <c r="E13" s="34">
        <f>SectorParameters!H$3+(SectorParameters!H$4*NationalDataLow!AC55+SectorParameters!H$5*D12)</f>
        <v>158.33073154300763</v>
      </c>
      <c r="F13" s="34">
        <f>SectorParameters!H$11+SectorParameters!H$12*NationalDataLow!AG55</f>
        <v>69.52129993207878</v>
      </c>
      <c r="G13" s="34">
        <f>SectorParameters!B$3+SectorParameters!B$4*NationalDataLow!AA55</f>
        <v>438.5413292488509</v>
      </c>
      <c r="H13" s="34">
        <f>EXP(SectorParameters!E$3+SectorParameters!E$4*LN(G12)+SectorParameters!E$5*LN(NationalDataLow!AB55))</f>
        <v>98.83317766115276</v>
      </c>
      <c r="I13" s="34">
        <f>SectorParameters!H$18+(SectorParameters!H$19*NationalDataLow!AF55+SectorParameters!H$20*AN12)</f>
        <v>199.39722639874418</v>
      </c>
      <c r="J13" s="34">
        <f>SectorParameters!B$26+SectorParameters!B$27*NationalDataLow!AE55</f>
        <v>478.28037263875785</v>
      </c>
      <c r="K13" s="34">
        <f>SectorParameters!E$26+SectorParameters!E$27*NationalDataLow!AH55</f>
        <v>677.6709359493315</v>
      </c>
      <c r="L13" s="34">
        <f>SectorParameters!B$18+SectorParameters!B$19*NationalDataLow!AI55</f>
        <v>271.58443900930746</v>
      </c>
      <c r="N13" s="34">
        <f t="shared" si="4"/>
        <v>2750.9</v>
      </c>
      <c r="O13" s="34"/>
      <c r="P13">
        <f>AnnualFactorsLow!J14</f>
        <v>332.2739999999999</v>
      </c>
      <c r="Q13" s="34">
        <f t="shared" si="5"/>
        <v>3083.2</v>
      </c>
      <c r="R13" s="34">
        <f>ROUND((AnnualFactorsLow!G14*Q13),1)</f>
        <v>166.8</v>
      </c>
      <c r="S13" s="34">
        <f t="shared" si="6"/>
        <v>3250</v>
      </c>
      <c r="T13" s="34">
        <f>ROUND(AnnualFactorsLow!K14,1)</f>
        <v>82.2</v>
      </c>
      <c r="U13" s="34">
        <f t="shared" si="7"/>
        <v>3332.2</v>
      </c>
      <c r="V13" s="34"/>
      <c r="W13" s="34">
        <f>ROUND(AnnualFactorsLow!B14*U13,1)</f>
        <v>199.9</v>
      </c>
      <c r="X13" s="34">
        <f t="shared" si="8"/>
        <v>3132.2999999999997</v>
      </c>
      <c r="Y13" s="60">
        <f>ROUND(AnnualFactorsLow!F14*X13,1)</f>
        <v>196.5</v>
      </c>
      <c r="Z13" s="34">
        <f t="shared" si="9"/>
        <v>2935.7999999999997</v>
      </c>
      <c r="AB13" s="95">
        <f>AnnualFactorsLow!C14</f>
        <v>0.8296988208385957</v>
      </c>
      <c r="AC13" s="34">
        <f t="shared" si="10"/>
        <v>3538.4</v>
      </c>
      <c r="AD13" s="8">
        <f>AnnualFactorsLow!D14</f>
        <v>0.3078078734618511</v>
      </c>
      <c r="AE13" s="34">
        <f t="shared" si="11"/>
        <v>1089.1</v>
      </c>
      <c r="AF13" s="8">
        <f>AnnualFactorsLow!E14</f>
        <v>0.1395222130048568</v>
      </c>
      <c r="AG13">
        <f t="shared" si="12"/>
        <v>493.7</v>
      </c>
      <c r="AH13" s="34">
        <f t="shared" si="13"/>
        <v>5121.2</v>
      </c>
      <c r="AI13">
        <f>ROUND(AnnualFactorsLow!H14*AH13,1)</f>
        <v>104.3</v>
      </c>
      <c r="AJ13" s="34">
        <f t="shared" si="14"/>
        <v>5016.9</v>
      </c>
      <c r="AK13" s="9">
        <f>AnnualFactorsLow!I14</f>
        <v>2.5979969159571583</v>
      </c>
      <c r="AL13" s="34">
        <f t="shared" si="15"/>
        <v>1931.1</v>
      </c>
      <c r="AN13" s="96">
        <f t="shared" si="16"/>
        <v>4964.5</v>
      </c>
      <c r="AO13" s="96">
        <f t="shared" si="17"/>
        <v>101.3</v>
      </c>
      <c r="AP13" s="96">
        <f t="shared" si="18"/>
        <v>4863.2</v>
      </c>
      <c r="AQ13" s="34">
        <f t="shared" si="19"/>
        <v>1871.9036847694993</v>
      </c>
      <c r="AS13" s="60">
        <f t="shared" si="0"/>
        <v>1055.7753944388035</v>
      </c>
      <c r="AT13" s="60">
        <f t="shared" si="1"/>
        <v>3430.1309849254085</v>
      </c>
      <c r="AU13" s="60">
        <f t="shared" si="2"/>
        <v>478.5936206357885</v>
      </c>
      <c r="AV13" s="115">
        <f t="shared" si="3"/>
        <v>0.06273345464993775</v>
      </c>
    </row>
    <row r="14" spans="1:48" ht="12.75">
      <c r="A14">
        <v>2012</v>
      </c>
      <c r="B14" s="34">
        <f>SectorParameters!E$18+(SectorParameters!E$19*LN(A14))+SectorParameters!E$20*LN(NationalDataLow!X56)</f>
        <v>56.104604662114184</v>
      </c>
      <c r="C14" s="34">
        <f>SectorParameters!E$11+(SectorParameters!E$12*NationalDataLow!Z56+SectorParameters!E$13*B14)</f>
        <v>126.53059693449566</v>
      </c>
      <c r="D14" s="34">
        <f>EXP(SectorParameters!B$11+SectorParameters!B$12*LN(NationalDataLow!Y56))</f>
        <v>176.0618860700333</v>
      </c>
      <c r="E14" s="34">
        <f>SectorParameters!H$3+(SectorParameters!H$4*NationalDataLow!AC56+SectorParameters!H$5*D13)</f>
        <v>158.78538746258295</v>
      </c>
      <c r="F14" s="34">
        <f>SectorParameters!H$11+SectorParameters!H$12*NationalDataLow!AG56</f>
        <v>69.53789288310978</v>
      </c>
      <c r="G14" s="34">
        <f>SectorParameters!B$3+SectorParameters!B$4*NationalDataLow!AA56</f>
        <v>440.892439932363</v>
      </c>
      <c r="H14" s="34">
        <f>EXP(SectorParameters!E$3+SectorParameters!E$4*LN(G13)+SectorParameters!E$5*LN(NationalDataLow!AB56))</f>
        <v>99.57839367129408</v>
      </c>
      <c r="I14" s="34">
        <f>SectorParameters!H$18+(SectorParameters!H$19*NationalDataLow!AF56+SectorParameters!H$20*AN13)</f>
        <v>202.60158379150982</v>
      </c>
      <c r="J14" s="34">
        <f>SectorParameters!B$26+SectorParameters!B$27*NationalDataLow!AE56</f>
        <v>491.175508757807</v>
      </c>
      <c r="K14" s="34">
        <f>SectorParameters!E$26+SectorParameters!E$27*NationalDataLow!AH56</f>
        <v>680.2072340976192</v>
      </c>
      <c r="L14" s="34">
        <f>SectorParameters!B$18+SectorParameters!B$19*NationalDataLow!AI56</f>
        <v>272.57333334114844</v>
      </c>
      <c r="N14" s="34">
        <f t="shared" si="4"/>
        <v>2774</v>
      </c>
      <c r="O14" s="34"/>
      <c r="P14">
        <f>AnnualFactorsLow!J15</f>
        <v>332.14</v>
      </c>
      <c r="Q14" s="34">
        <f t="shared" si="5"/>
        <v>3106.1</v>
      </c>
      <c r="R14" s="34">
        <f>ROUND((AnnualFactorsLow!G15*Q14),1)</f>
        <v>168</v>
      </c>
      <c r="S14" s="34">
        <f t="shared" si="6"/>
        <v>3274.1</v>
      </c>
      <c r="T14" s="34">
        <f>ROUND(AnnualFactorsLow!K15,1)</f>
        <v>82.4</v>
      </c>
      <c r="U14" s="34">
        <f t="shared" si="7"/>
        <v>3356.5</v>
      </c>
      <c r="V14" s="34"/>
      <c r="W14" s="34">
        <f>ROUND(AnnualFactorsLow!B15*U14,1)</f>
        <v>201.4</v>
      </c>
      <c r="X14" s="34">
        <f t="shared" si="8"/>
        <v>3155.1</v>
      </c>
      <c r="Y14" s="60">
        <f>ROUND(AnnualFactorsLow!F15*X14,1)</f>
        <v>198.4</v>
      </c>
      <c r="Z14" s="34">
        <f t="shared" si="9"/>
        <v>2956.7</v>
      </c>
      <c r="AB14" s="95">
        <f>AnnualFactorsLow!C15</f>
        <v>0.830398230761105</v>
      </c>
      <c r="AC14" s="34">
        <f t="shared" si="10"/>
        <v>3560.6</v>
      </c>
      <c r="AD14" s="8">
        <f>AnnualFactorsLow!D15</f>
        <v>0.30876146334609345</v>
      </c>
      <c r="AE14" s="34">
        <f t="shared" si="11"/>
        <v>1099.4</v>
      </c>
      <c r="AF14" s="8">
        <f>AnnualFactorsLow!E15</f>
        <v>0.14320392712865004</v>
      </c>
      <c r="AG14">
        <f t="shared" si="12"/>
        <v>509.9</v>
      </c>
      <c r="AH14" s="34">
        <f t="shared" si="13"/>
        <v>5169.9</v>
      </c>
      <c r="AI14">
        <f>ROUND(AnnualFactorsLow!H15*AH14,1)</f>
        <v>105.6</v>
      </c>
      <c r="AJ14" s="34">
        <f t="shared" si="14"/>
        <v>5064.299999999999</v>
      </c>
      <c r="AK14" s="9">
        <f>AnnualFactorsLow!I15</f>
        <v>2.5959953751241946</v>
      </c>
      <c r="AL14" s="34">
        <f t="shared" si="15"/>
        <v>1950.8</v>
      </c>
      <c r="AN14" s="96">
        <f t="shared" si="16"/>
        <v>5011.7</v>
      </c>
      <c r="AO14" s="96">
        <f t="shared" si="17"/>
        <v>102.6</v>
      </c>
      <c r="AP14" s="96">
        <f t="shared" si="18"/>
        <v>4909.099999999999</v>
      </c>
      <c r="AQ14" s="34">
        <f t="shared" si="19"/>
        <v>1891.0280222533693</v>
      </c>
      <c r="AS14" s="60">
        <f t="shared" si="0"/>
        <v>1065.7581345867427</v>
      </c>
      <c r="AT14" s="60">
        <f t="shared" si="1"/>
        <v>3451.644909959574</v>
      </c>
      <c r="AU14" s="60">
        <f t="shared" si="2"/>
        <v>494.29695545368384</v>
      </c>
      <c r="AV14" s="115">
        <f t="shared" si="3"/>
        <v>0.0628823175176698</v>
      </c>
    </row>
    <row r="15" spans="1:48" ht="12.75">
      <c r="A15">
        <v>2013</v>
      </c>
      <c r="B15" s="34">
        <f>SectorParameters!E$18+(SectorParameters!E$19*LN(A15))+SectorParameters!E$20*LN(NationalDataLow!X57)</f>
        <v>54.922092298804955</v>
      </c>
      <c r="C15" s="34">
        <f>SectorParameters!E$11+(SectorParameters!E$12*NationalDataLow!Z57+SectorParameters!E$13*B15)</f>
        <v>127.04079379671802</v>
      </c>
      <c r="D15" s="34">
        <f>EXP(SectorParameters!B$11+SectorParameters!B$12*LN(NationalDataLow!Y57))</f>
        <v>176.83172782789615</v>
      </c>
      <c r="E15" s="34">
        <f>SectorParameters!H$3+(SectorParameters!H$4*NationalDataLow!AC57+SectorParameters!H$5*D14)</f>
        <v>159.22380895995087</v>
      </c>
      <c r="F15" s="34">
        <f>SectorParameters!H$11+SectorParameters!H$12*NationalDataLow!AG57</f>
        <v>69.55033759638302</v>
      </c>
      <c r="G15" s="34">
        <f>SectorParameters!B$3+SectorParameters!B$4*NationalDataLow!AA57</f>
        <v>443.01693753794626</v>
      </c>
      <c r="H15" s="34">
        <f>EXP(SectorParameters!E$3+SectorParameters!E$4*LN(G14)+SectorParameters!E$5*LN(NationalDataLow!AB57))</f>
        <v>100.27165660993144</v>
      </c>
      <c r="I15" s="34">
        <f>SectorParameters!H$18+(SectorParameters!H$19*NationalDataLow!AF57+SectorParameters!H$20*AN14)</f>
        <v>206.12803923854818</v>
      </c>
      <c r="J15" s="34">
        <f>SectorParameters!B$26+SectorParameters!B$27*NationalDataLow!AE57</f>
        <v>504.31617771691515</v>
      </c>
      <c r="K15" s="34">
        <f>SectorParameters!E$26+SectorParameters!E$27*NationalDataLow!AH57</f>
        <v>681.5956386874147</v>
      </c>
      <c r="L15" s="34">
        <f>SectorParameters!B$18+SectorParameters!B$19*NationalDataLow!AI57</f>
        <v>273.55539829224466</v>
      </c>
      <c r="N15" s="34">
        <f t="shared" si="4"/>
        <v>2796.5</v>
      </c>
      <c r="O15" s="34"/>
      <c r="P15">
        <f>AnnualFactorsLow!J16</f>
        <v>332.008</v>
      </c>
      <c r="Q15" s="34">
        <f t="shared" si="5"/>
        <v>3128.5</v>
      </c>
      <c r="R15" s="34">
        <f>ROUND((AnnualFactorsLow!G16*Q15),1)</f>
        <v>169.3</v>
      </c>
      <c r="S15" s="34">
        <f t="shared" si="6"/>
        <v>3297.8</v>
      </c>
      <c r="T15" s="34">
        <f>ROUND(AnnualFactorsLow!K16,1)</f>
        <v>82.7</v>
      </c>
      <c r="U15" s="34">
        <f t="shared" si="7"/>
        <v>3380.5</v>
      </c>
      <c r="V15" s="34"/>
      <c r="W15" s="34">
        <f>ROUND(AnnualFactorsLow!B16*U15,1)</f>
        <v>202.8</v>
      </c>
      <c r="X15" s="34">
        <f t="shared" si="8"/>
        <v>3177.7</v>
      </c>
      <c r="Y15" s="60">
        <f>ROUND(AnnualFactorsLow!F16*X15,1)</f>
        <v>200.3</v>
      </c>
      <c r="Z15" s="34">
        <f t="shared" si="9"/>
        <v>2977.3999999999996</v>
      </c>
      <c r="AB15" s="95">
        <f>AnnualFactorsLow!C16</f>
        <v>0.8310982302641071</v>
      </c>
      <c r="AC15" s="34">
        <f t="shared" si="10"/>
        <v>3582.5</v>
      </c>
      <c r="AD15" s="8">
        <f>AnnualFactorsLow!D16</f>
        <v>0.30971800745518097</v>
      </c>
      <c r="AE15" s="34">
        <f t="shared" si="11"/>
        <v>1109.6</v>
      </c>
      <c r="AF15" s="8">
        <f>AnnualFactorsLow!E16</f>
        <v>0.1469827943766477</v>
      </c>
      <c r="AG15">
        <f t="shared" si="12"/>
        <v>526.6</v>
      </c>
      <c r="AH15" s="34">
        <f t="shared" si="13"/>
        <v>5218.700000000001</v>
      </c>
      <c r="AI15">
        <f>ROUND(AnnualFactorsLow!H16*AH15,1)</f>
        <v>106.9</v>
      </c>
      <c r="AJ15" s="34">
        <f t="shared" si="14"/>
        <v>5111.800000000001</v>
      </c>
      <c r="AK15" s="9">
        <f>AnnualFactorsLow!I16</f>
        <v>2.593995376312194</v>
      </c>
      <c r="AL15" s="34">
        <f t="shared" si="15"/>
        <v>1970.6</v>
      </c>
      <c r="AN15" s="96">
        <f t="shared" si="16"/>
        <v>5059</v>
      </c>
      <c r="AO15" s="96">
        <f t="shared" si="17"/>
        <v>103.8</v>
      </c>
      <c r="AP15" s="96">
        <f t="shared" si="18"/>
        <v>4955.2</v>
      </c>
      <c r="AQ15" s="34">
        <f t="shared" si="19"/>
        <v>1910.2578382559263</v>
      </c>
      <c r="AS15" s="60">
        <f t="shared" si="0"/>
        <v>1075.6445858163909</v>
      </c>
      <c r="AT15" s="60">
        <f t="shared" si="1"/>
        <v>3472.870159235058</v>
      </c>
      <c r="AU15" s="60">
        <f t="shared" si="2"/>
        <v>510.4852549485504</v>
      </c>
      <c r="AV15" s="115">
        <f t="shared" si="3"/>
        <v>0.06303301129747932</v>
      </c>
    </row>
    <row r="16" spans="1:48" ht="12.75">
      <c r="A16">
        <v>2014</v>
      </c>
      <c r="B16" s="34">
        <f>SectorParameters!E$18+(SectorParameters!E$19*LN(A16))+SectorParameters!E$20*LN(NationalDataLow!X58)</f>
        <v>53.7165062389746</v>
      </c>
      <c r="C16" s="34">
        <f>SectorParameters!E$11+(SectorParameters!E$12*NationalDataLow!Z58+SectorParameters!E$13*B16)</f>
        <v>127.53800384818058</v>
      </c>
      <c r="D16" s="34">
        <f>EXP(SectorParameters!B$11+SectorParameters!B$12*LN(NationalDataLow!Y58))</f>
        <v>177.59343671986025</v>
      </c>
      <c r="E16" s="34">
        <f>SectorParameters!H$3+(SectorParameters!H$4*NationalDataLow!AC58+SectorParameters!H$5*D15)</f>
        <v>159.66046346036518</v>
      </c>
      <c r="F16" s="34">
        <f>SectorParameters!H$11+SectorParameters!H$12*NationalDataLow!AG58</f>
        <v>69.56278230965626</v>
      </c>
      <c r="G16" s="34">
        <f>SectorParameters!B$3+SectorParameters!B$4*NationalDataLow!AA58</f>
        <v>445.0947795098382</v>
      </c>
      <c r="H16" s="34">
        <f>EXP(SectorParameters!E$3+SectorParameters!E$4*LN(G15)+SectorParameters!E$5*LN(NationalDataLow!AB58))</f>
        <v>100.88807071238874</v>
      </c>
      <c r="I16" s="34">
        <f>SectorParameters!H$18+(SectorParameters!H$19*NationalDataLow!AF58+SectorParameters!H$20*AN15)</f>
        <v>209.66961442587683</v>
      </c>
      <c r="J16" s="34">
        <f>SectorParameters!B$26+SectorParameters!B$27*NationalDataLow!AE58</f>
        <v>517.6650833884784</v>
      </c>
      <c r="K16" s="34">
        <f>SectorParameters!E$26+SectorParameters!E$27*NationalDataLow!AH58</f>
        <v>682.81277027007</v>
      </c>
      <c r="L16" s="34">
        <f>SectorParameters!B$18+SectorParameters!B$19*NationalDataLow!AI58</f>
        <v>274.51834097725555</v>
      </c>
      <c r="N16" s="34">
        <f t="shared" si="4"/>
        <v>2818.7</v>
      </c>
      <c r="O16" s="34"/>
      <c r="P16">
        <f>AnnualFactorsLow!J17</f>
        <v>331.87599999999986</v>
      </c>
      <c r="Q16" s="34">
        <f t="shared" si="5"/>
        <v>3150.6</v>
      </c>
      <c r="R16" s="34">
        <f>ROUND((AnnualFactorsLow!G17*Q16),1)</f>
        <v>170.4</v>
      </c>
      <c r="S16" s="34">
        <f t="shared" si="6"/>
        <v>3321</v>
      </c>
      <c r="T16" s="34">
        <f>ROUND(AnnualFactorsLow!K17,1)</f>
        <v>82.8</v>
      </c>
      <c r="U16" s="34">
        <f t="shared" si="7"/>
        <v>3403.8</v>
      </c>
      <c r="V16" s="34"/>
      <c r="W16" s="34">
        <f>ROUND(AnnualFactorsLow!B17*U16,1)</f>
        <v>204.2</v>
      </c>
      <c r="X16" s="34">
        <f t="shared" si="8"/>
        <v>3199.6000000000004</v>
      </c>
      <c r="Y16" s="60">
        <f>ROUND(AnnualFactorsLow!F17*X16,1)</f>
        <v>202.1</v>
      </c>
      <c r="Z16" s="34">
        <f t="shared" si="9"/>
        <v>2997.5000000000005</v>
      </c>
      <c r="AB16" s="95">
        <f>AnnualFactorsLow!C17</f>
        <v>0.8317988198445998</v>
      </c>
      <c r="AC16" s="34">
        <f t="shared" si="10"/>
        <v>3603.6</v>
      </c>
      <c r="AD16" s="8">
        <f>AnnualFactorsLow!D17</f>
        <v>0.3106775149413128</v>
      </c>
      <c r="AE16" s="34">
        <f t="shared" si="11"/>
        <v>1119.6</v>
      </c>
      <c r="AF16" s="8">
        <f>AnnualFactorsLow!E17</f>
        <v>0.15086137842686104</v>
      </c>
      <c r="AG16">
        <f t="shared" si="12"/>
        <v>543.6</v>
      </c>
      <c r="AH16" s="34">
        <f t="shared" si="13"/>
        <v>5266.8</v>
      </c>
      <c r="AI16">
        <f>ROUND(AnnualFactorsLow!H17*AH16,1)</f>
        <v>108.2</v>
      </c>
      <c r="AJ16" s="34">
        <f t="shared" si="14"/>
        <v>5158.6</v>
      </c>
      <c r="AK16" s="9">
        <f>AnnualFactorsLow!I17</f>
        <v>2.591996918333157</v>
      </c>
      <c r="AL16" s="34">
        <f t="shared" si="15"/>
        <v>1990.2</v>
      </c>
      <c r="AN16" s="96">
        <f t="shared" si="16"/>
        <v>5105.6</v>
      </c>
      <c r="AO16" s="96">
        <f t="shared" si="17"/>
        <v>105.1</v>
      </c>
      <c r="AP16" s="96">
        <f t="shared" si="18"/>
        <v>5000.5</v>
      </c>
      <c r="AQ16" s="34">
        <f t="shared" si="19"/>
        <v>1929.2075405767403</v>
      </c>
      <c r="AS16" s="60">
        <f t="shared" si="0"/>
        <v>1085.3326042378674</v>
      </c>
      <c r="AT16" s="60">
        <f t="shared" si="1"/>
        <v>3493.3052631578944</v>
      </c>
      <c r="AU16" s="60">
        <f t="shared" si="2"/>
        <v>526.9621326042379</v>
      </c>
      <c r="AV16" s="115">
        <f t="shared" si="3"/>
        <v>0.06316414551818976</v>
      </c>
    </row>
    <row r="17" spans="1:48" s="98" customFormat="1" ht="12.75">
      <c r="A17" s="98">
        <v>2015</v>
      </c>
      <c r="B17" s="34">
        <f>SectorParameters!E$18+(SectorParameters!E$19*LN(A17))+SectorParameters!E$20*LN(NationalDataLow!X59)</f>
        <v>52.50833827474662</v>
      </c>
      <c r="C17" s="34">
        <f>SectorParameters!E$11+(SectorParameters!E$12*NationalDataLow!Z59+SectorParameters!E$13*B17)</f>
        <v>127.61337637099535</v>
      </c>
      <c r="D17" s="34">
        <f>EXP(SectorParameters!B$11+SectorParameters!B$12*LN(NationalDataLow!Y59))</f>
        <v>178.34408071613237</v>
      </c>
      <c r="E17" s="34">
        <f>SectorParameters!H$3+(SectorParameters!H$4*NationalDataLow!AC59+SectorParameters!H$5*D16)</f>
        <v>160.0872196082885</v>
      </c>
      <c r="F17" s="34">
        <f>SectorParameters!H$11+SectorParameters!H$12*NationalDataLow!AG59</f>
        <v>69.57315290405063</v>
      </c>
      <c r="G17" s="34">
        <f>SectorParameters!B$3+SectorParameters!B$4*NationalDataLow!AA59</f>
        <v>447.1359634838299</v>
      </c>
      <c r="H17" s="34">
        <f>EXP(SectorParameters!E$3+SectorParameters!E$4*LN(G16)+SectorParameters!E$5*LN(NationalDataLow!AB59))</f>
        <v>101.4684530827978</v>
      </c>
      <c r="I17" s="34">
        <f>SectorParameters!H$18+(SectorParameters!H$19*NationalDataLow!AF59+SectorParameters!H$20*AN16)</f>
        <v>213.1934017231241</v>
      </c>
      <c r="J17" s="34">
        <f>SectorParameters!B$26+SectorParameters!B$27*NationalDataLow!AE59</f>
        <v>531.247089857566</v>
      </c>
      <c r="K17" s="34">
        <f>SectorParameters!E$26+SectorParameters!E$27*NationalDataLow!AH59</f>
        <v>683.8804934847947</v>
      </c>
      <c r="L17" s="34">
        <f>SectorParameters!B$18+SectorParameters!B$19*NationalDataLow!AI59</f>
        <v>275.4730884053727</v>
      </c>
      <c r="N17" s="100">
        <f t="shared" si="4"/>
        <v>2840.5</v>
      </c>
      <c r="O17" s="100"/>
      <c r="P17" s="98">
        <f>AnnualFactorsLow!J18</f>
        <v>331.74300000000005</v>
      </c>
      <c r="Q17" s="100">
        <f t="shared" si="5"/>
        <v>3172.2</v>
      </c>
      <c r="R17" s="100">
        <f>ROUND((AnnualFactorsLow!G18*Q17),1)</f>
        <v>171.6</v>
      </c>
      <c r="S17" s="100">
        <f t="shared" si="6"/>
        <v>3343.7999999999997</v>
      </c>
      <c r="T17" s="100">
        <f>ROUND(AnnualFactorsLow!K18,1)</f>
        <v>83</v>
      </c>
      <c r="U17" s="100">
        <f t="shared" si="7"/>
        <v>3426.7999999999997</v>
      </c>
      <c r="V17" s="100"/>
      <c r="W17" s="100">
        <f>ROUND(AnnualFactorsLow!B18*U17,1)</f>
        <v>205.6</v>
      </c>
      <c r="X17" s="100">
        <f t="shared" si="8"/>
        <v>3221.2</v>
      </c>
      <c r="Y17" s="100">
        <f>ROUND(AnnualFactorsLow!F18*X17,1)</f>
        <v>203.9</v>
      </c>
      <c r="Z17" s="100">
        <f t="shared" si="9"/>
        <v>3017.2999999999997</v>
      </c>
      <c r="AB17" s="101">
        <f>AnnualFactorsLow!C18</f>
        <v>0.8325</v>
      </c>
      <c r="AC17" s="100">
        <f t="shared" si="10"/>
        <v>3624.4</v>
      </c>
      <c r="AD17" s="102">
        <f>AnnualFactorsLow!D18</f>
        <v>0.3116399949850414</v>
      </c>
      <c r="AE17" s="100">
        <f t="shared" si="11"/>
        <v>1129.5</v>
      </c>
      <c r="AF17" s="102">
        <f>AnnualFactorsLow!E18</f>
        <v>0.15484231060767265</v>
      </c>
      <c r="AG17" s="98">
        <f t="shared" si="12"/>
        <v>561.2</v>
      </c>
      <c r="AH17" s="100">
        <f t="shared" si="13"/>
        <v>5315.099999999999</v>
      </c>
      <c r="AI17" s="98">
        <f>ROUND(AnnualFactorsLow!H18*AH17,1)</f>
        <v>109.5</v>
      </c>
      <c r="AJ17" s="100">
        <f t="shared" si="14"/>
        <v>5205.599999999999</v>
      </c>
      <c r="AK17" s="103">
        <f>AnnualFactorsLow!I18</f>
        <v>2.59</v>
      </c>
      <c r="AL17" s="100">
        <f t="shared" si="15"/>
        <v>2009.9</v>
      </c>
      <c r="AN17" s="104">
        <f t="shared" si="16"/>
        <v>5152.4</v>
      </c>
      <c r="AO17" s="104">
        <f t="shared" si="17"/>
        <v>106.4</v>
      </c>
      <c r="AP17" s="104">
        <f t="shared" si="18"/>
        <v>5046</v>
      </c>
      <c r="AQ17" s="100">
        <f t="shared" si="19"/>
        <v>1948.2625482625483</v>
      </c>
      <c r="AS17" s="100">
        <f t="shared" si="0"/>
        <v>1094.9249873003332</v>
      </c>
      <c r="AT17" s="100">
        <f t="shared" si="1"/>
        <v>3513.4538503508875</v>
      </c>
      <c r="AU17" s="100">
        <f t="shared" si="2"/>
        <v>544.02116234878</v>
      </c>
      <c r="AV17" s="115">
        <f t="shared" si="3"/>
        <v>0.06329939153110642</v>
      </c>
    </row>
    <row r="18" spans="1:48" ht="12.75">
      <c r="A18">
        <v>2016</v>
      </c>
      <c r="B18" s="34">
        <f>SectorParameters!E$18+(SectorParameters!E$19*LN(A18))+SectorParameters!E$20*LN(NationalDataLow!X60)</f>
        <v>51.046625098064396</v>
      </c>
      <c r="C18" s="34">
        <f>SectorParameters!E$11+(SectorParameters!E$12*NationalDataLow!Z60+SectorParameters!E$13*B18)</f>
        <v>126.94332929897053</v>
      </c>
      <c r="D18" s="34">
        <f>EXP(SectorParameters!B$11+SectorParameters!B$12*LN(NationalDataLow!Y60))</f>
        <v>178.50417397890703</v>
      </c>
      <c r="E18" s="34">
        <f>SectorParameters!H$3+(SectorParameters!H$4*NationalDataLow!AC60+SectorParameters!H$5*D17)</f>
        <v>160.1972054539612</v>
      </c>
      <c r="F18" s="34">
        <f>SectorParameters!H$11+SectorParameters!H$12*NationalDataLow!AG60</f>
        <v>69.46944696010694</v>
      </c>
      <c r="G18" s="34">
        <f>SectorParameters!B$3+SectorParameters!B$4*NationalDataLow!AA60</f>
        <v>448.330680960852</v>
      </c>
      <c r="H18" s="34">
        <f>EXP(SectorParameters!E$3+SectorParameters!E$4*LN(G17)+SectorParameters!E$5*LN(NationalDataLow!AB60))</f>
        <v>101.91991810079442</v>
      </c>
      <c r="I18" s="34">
        <f>SectorParameters!H$18+(SectorParameters!H$19*NationalDataLow!AF60+SectorParameters!H$20*AN17)</f>
        <v>216.55100861890827</v>
      </c>
      <c r="J18" s="34">
        <f>SectorParameters!B$26+SectorParameters!B$27*NationalDataLow!AE60</f>
        <v>544.089389795843</v>
      </c>
      <c r="K18" s="34">
        <f>SectorParameters!E$26+SectorParameters!E$27*NationalDataLow!AH60</f>
        <v>683.3265892914904</v>
      </c>
      <c r="L18" s="34">
        <f>SectorParameters!B$18+SectorParameters!B$19*NationalDataLow!AI60</f>
        <v>275.888314754654</v>
      </c>
      <c r="N18" s="34">
        <f t="shared" si="4"/>
        <v>2856.3</v>
      </c>
      <c r="O18" s="34"/>
      <c r="P18">
        <f>AnnualFactorsLow!J19</f>
        <v>331.61</v>
      </c>
      <c r="Q18" s="34">
        <f t="shared" si="5"/>
        <v>3187.9</v>
      </c>
      <c r="R18" s="34">
        <f>ROUND((AnnualFactorsLow!G19*Q18),1)</f>
        <v>172.5</v>
      </c>
      <c r="S18" s="34">
        <f t="shared" si="6"/>
        <v>3360.4</v>
      </c>
      <c r="T18" s="34">
        <f>ROUND(AnnualFactorsLow!K19,1)</f>
        <v>83.2</v>
      </c>
      <c r="U18" s="34">
        <f t="shared" si="7"/>
        <v>3443.6</v>
      </c>
      <c r="V18" s="34"/>
      <c r="W18" s="34">
        <f>ROUND(AnnualFactorsLow!B19*U18,1)</f>
        <v>206.6</v>
      </c>
      <c r="X18" s="34">
        <f t="shared" si="8"/>
        <v>3237</v>
      </c>
      <c r="Y18" s="60">
        <f>ROUND(AnnualFactorsLow!F19*X18,1)</f>
        <v>205.4</v>
      </c>
      <c r="Z18" s="34">
        <f t="shared" si="9"/>
        <v>3031.6</v>
      </c>
      <c r="AB18" s="95">
        <f>AnnualFactorsLow!C19</f>
        <v>0.8314774913137565</v>
      </c>
      <c r="AC18" s="34">
        <f t="shared" si="10"/>
        <v>3646</v>
      </c>
      <c r="AD18" s="8">
        <f>AnnualFactorsLow!D19</f>
        <v>0.3137121471297495</v>
      </c>
      <c r="AE18" s="34">
        <f t="shared" si="11"/>
        <v>1143.8</v>
      </c>
      <c r="AF18" s="8">
        <f>AnnualFactorsLow!E19</f>
        <v>0.1594550651240126</v>
      </c>
      <c r="AG18">
        <f t="shared" si="12"/>
        <v>581.4</v>
      </c>
      <c r="AH18" s="34">
        <f t="shared" si="13"/>
        <v>5371.2</v>
      </c>
      <c r="AI18">
        <f>ROUND(AnnualFactorsLow!H19*AH18,1)</f>
        <v>111.2</v>
      </c>
      <c r="AJ18" s="34">
        <f t="shared" si="14"/>
        <v>5260</v>
      </c>
      <c r="AK18" s="9">
        <f>AnnualFactorsLow!I19</f>
        <v>2.5879969040219866</v>
      </c>
      <c r="AL18" s="34">
        <f t="shared" si="15"/>
        <v>2032.5</v>
      </c>
      <c r="AN18" s="96">
        <f t="shared" si="16"/>
        <v>5206.8</v>
      </c>
      <c r="AO18" s="96">
        <f t="shared" si="17"/>
        <v>108</v>
      </c>
      <c r="AP18" s="96">
        <f t="shared" si="18"/>
        <v>5098.8</v>
      </c>
      <c r="AQ18" s="34">
        <f t="shared" si="19"/>
        <v>1970.1723723378468</v>
      </c>
      <c r="AS18" s="60">
        <f t="shared" si="0"/>
        <v>1108.790929401251</v>
      </c>
      <c r="AT18" s="60">
        <f t="shared" si="1"/>
        <v>3534.4043789097414</v>
      </c>
      <c r="AU18" s="60">
        <f t="shared" si="2"/>
        <v>563.6046916890081</v>
      </c>
      <c r="AV18" s="115">
        <f t="shared" si="3"/>
        <v>0.06345381526104418</v>
      </c>
    </row>
    <row r="19" spans="1:48" ht="12.75">
      <c r="A19">
        <v>2017</v>
      </c>
      <c r="B19" s="34">
        <f>SectorParameters!E$18+(SectorParameters!E$19*LN(A19))+SectorParameters!E$20*LN(NationalDataLow!X61)</f>
        <v>49.5900380819578</v>
      </c>
      <c r="C19" s="34">
        <f>SectorParameters!E$11+(SectorParameters!E$12*NationalDataLow!Z61+SectorParameters!E$13*B19)</f>
        <v>126.24038599317731</v>
      </c>
      <c r="D19" s="34">
        <f>EXP(SectorParameters!B$11+SectorParameters!B$12*LN(NationalDataLow!Y61))</f>
        <v>178.64973531617179</v>
      </c>
      <c r="E19" s="34">
        <f>SectorParameters!H$3+(SectorParameters!H$4*NationalDataLow!AC61+SectorParameters!H$5*D18)</f>
        <v>160.20304304549845</v>
      </c>
      <c r="F19" s="34">
        <f>SectorParameters!H$11+SectorParameters!H$12*NationalDataLow!AG61</f>
        <v>69.36574101616324</v>
      </c>
      <c r="G19" s="34">
        <f>SectorParameters!B$3+SectorParameters!B$4*NationalDataLow!AA61</f>
        <v>449.4754102589192</v>
      </c>
      <c r="H19" s="34">
        <f>EXP(SectorParameters!E$3+SectorParameters!E$4*LN(G18)+SectorParameters!E$5*LN(NationalDataLow!AB61))</f>
        <v>102.2201180226081</v>
      </c>
      <c r="I19" s="34">
        <f>SectorParameters!H$18+(SectorParameters!H$19*NationalDataLow!AF61+SectorParameters!H$20*AN18)</f>
        <v>220.26375801600273</v>
      </c>
      <c r="J19" s="34">
        <f>SectorParameters!B$26+SectorParameters!B$27*NationalDataLow!AE61</f>
        <v>557.1026303189711</v>
      </c>
      <c r="K19" s="34">
        <f>SectorParameters!E$26+SectorParameters!E$27*NationalDataLow!AH61</f>
        <v>682.6087003041158</v>
      </c>
      <c r="L19" s="34">
        <f>SectorParameters!B$18+SectorParameters!B$19*NationalDataLow!AI61</f>
        <v>276.28715059014786</v>
      </c>
      <c r="N19" s="34">
        <f t="shared" si="4"/>
        <v>2872</v>
      </c>
      <c r="O19" s="34"/>
      <c r="P19">
        <f>AnnualFactorsLow!J20</f>
        <v>331.478</v>
      </c>
      <c r="Q19" s="34">
        <f t="shared" si="5"/>
        <v>3203.5</v>
      </c>
      <c r="R19" s="34">
        <f>ROUND((AnnualFactorsLow!G20*Q19),1)</f>
        <v>173.3</v>
      </c>
      <c r="S19" s="34">
        <f t="shared" si="6"/>
        <v>3376.8</v>
      </c>
      <c r="T19" s="34">
        <f>ROUND(AnnualFactorsLow!K20,1)</f>
        <v>83.3</v>
      </c>
      <c r="U19" s="34">
        <f t="shared" si="7"/>
        <v>3460.1000000000004</v>
      </c>
      <c r="V19" s="34"/>
      <c r="W19" s="34">
        <f>ROUND(AnnualFactorsLow!B20*U19,1)</f>
        <v>207.6</v>
      </c>
      <c r="X19" s="34">
        <f t="shared" si="8"/>
        <v>3252.5000000000005</v>
      </c>
      <c r="Y19" s="60">
        <f>ROUND(AnnualFactorsLow!F20*X19,1)</f>
        <v>206.8</v>
      </c>
      <c r="Z19" s="34">
        <f t="shared" si="9"/>
        <v>3045.7000000000003</v>
      </c>
      <c r="AB19" s="95">
        <f>AnnualFactorsLow!C20</f>
        <v>0.8304562385122138</v>
      </c>
      <c r="AC19" s="34">
        <f t="shared" si="10"/>
        <v>3667.5</v>
      </c>
      <c r="AD19" s="8">
        <f>AnnualFactorsLow!D20</f>
        <v>0.3157980773985107</v>
      </c>
      <c r="AE19" s="34">
        <f t="shared" si="11"/>
        <v>1158.2</v>
      </c>
      <c r="AF19" s="8">
        <f>AnnualFactorsLow!E20</f>
        <v>0.16420523365945702</v>
      </c>
      <c r="AG19">
        <f t="shared" si="12"/>
        <v>602.2</v>
      </c>
      <c r="AH19" s="34">
        <f t="shared" si="13"/>
        <v>5427.9</v>
      </c>
      <c r="AI19">
        <f>ROUND(AnnualFactorsLow!H20*AH19,1)</f>
        <v>112.9</v>
      </c>
      <c r="AJ19" s="34">
        <f t="shared" si="14"/>
        <v>5315</v>
      </c>
      <c r="AK19" s="9">
        <f>AnnualFactorsLow!I20</f>
        <v>2.5859953572306518</v>
      </c>
      <c r="AL19" s="34">
        <f t="shared" si="15"/>
        <v>2055.3</v>
      </c>
      <c r="AN19" s="96">
        <f t="shared" si="16"/>
        <v>5261.8</v>
      </c>
      <c r="AO19" s="96">
        <f t="shared" si="17"/>
        <v>109.7</v>
      </c>
      <c r="AP19" s="96">
        <f t="shared" si="18"/>
        <v>5152.1</v>
      </c>
      <c r="AQ19" s="34">
        <f t="shared" si="19"/>
        <v>1992.3082945970157</v>
      </c>
      <c r="AS19" s="60">
        <f t="shared" si="0"/>
        <v>1122.757744247315</v>
      </c>
      <c r="AT19" s="60">
        <f t="shared" si="1"/>
        <v>3555.270270270271</v>
      </c>
      <c r="AU19" s="60">
        <f t="shared" si="2"/>
        <v>583.7719854824151</v>
      </c>
      <c r="AV19" s="115">
        <f t="shared" si="3"/>
        <v>0.06358186010760952</v>
      </c>
    </row>
    <row r="20" spans="1:48" ht="12.75">
      <c r="A20">
        <v>2018</v>
      </c>
      <c r="B20" s="34">
        <f>SectorParameters!E$18+(SectorParameters!E$19*LN(A20))+SectorParameters!E$20*LN(NationalDataLow!X62)</f>
        <v>48.10690703926571</v>
      </c>
      <c r="C20" s="34">
        <f>SectorParameters!E$11+(SectorParameters!E$12*NationalDataLow!Z62+SectorParameters!E$13*B20)</f>
        <v>125.49469007809839</v>
      </c>
      <c r="D20" s="34">
        <f>EXP(SectorParameters!B$11+SectorParameters!B$12*LN(NationalDataLow!Y62))</f>
        <v>178.78075843063232</v>
      </c>
      <c r="E20" s="34">
        <f>SectorParameters!H$3+(SectorParameters!H$4*NationalDataLow!AC62+SectorParameters!H$5*D19)</f>
        <v>160.19621627948808</v>
      </c>
      <c r="F20" s="34">
        <f>SectorParameters!H$11+SectorParameters!H$12*NationalDataLow!AG62</f>
        <v>69.26410919109843</v>
      </c>
      <c r="G20" s="34">
        <f>SectorParameters!B$3+SectorParameters!B$4*NationalDataLow!AA62</f>
        <v>450.5718176506634</v>
      </c>
      <c r="H20" s="34">
        <f>EXP(SectorParameters!E$3+SectorParameters!E$4*LN(G19)+SectorParameters!E$5*LN(NationalDataLow!AB62))</f>
        <v>102.49654317979783</v>
      </c>
      <c r="I20" s="34">
        <f>SectorParameters!H$18+(SectorParameters!H$19*NationalDataLow!AF62+SectorParameters!H$20*AN19)</f>
        <v>224.01228849319438</v>
      </c>
      <c r="J20" s="34">
        <f>SectorParameters!B$26+SectorParameters!B$27*NationalDataLow!AE62</f>
        <v>570.2899194375841</v>
      </c>
      <c r="K20" s="34">
        <f>SectorParameters!E$26+SectorParameters!E$27*NationalDataLow!AH62</f>
        <v>681.7122500965314</v>
      </c>
      <c r="L20" s="34">
        <f>SectorParameters!B$18+SectorParameters!B$19*NationalDataLow!AI62</f>
        <v>276.6682300357054</v>
      </c>
      <c r="N20" s="34">
        <f t="shared" si="4"/>
        <v>2887.6</v>
      </c>
      <c r="O20" s="34"/>
      <c r="P20">
        <f>AnnualFactorsLow!J21</f>
        <v>331.345000000001</v>
      </c>
      <c r="Q20" s="34">
        <f t="shared" si="5"/>
        <v>3218.9</v>
      </c>
      <c r="R20" s="34">
        <f>ROUND((AnnualFactorsLow!G21*Q20),1)</f>
        <v>174.1</v>
      </c>
      <c r="S20" s="34">
        <f t="shared" si="6"/>
        <v>3393</v>
      </c>
      <c r="T20" s="34">
        <f>ROUND(AnnualFactorsLow!K21,1)</f>
        <v>83.4</v>
      </c>
      <c r="U20" s="34">
        <f t="shared" si="7"/>
        <v>3476.4</v>
      </c>
      <c r="V20" s="34"/>
      <c r="W20" s="34">
        <f>ROUND(AnnualFactorsLow!B21*U20,1)</f>
        <v>208.6</v>
      </c>
      <c r="X20" s="34">
        <f t="shared" si="8"/>
        <v>3267.8</v>
      </c>
      <c r="Y20" s="60">
        <f>ROUND(AnnualFactorsLow!F21*X20,1)</f>
        <v>208.2</v>
      </c>
      <c r="Z20" s="34">
        <f t="shared" si="9"/>
        <v>3059.6000000000004</v>
      </c>
      <c r="AB20" s="95">
        <f>AnnualFactorsLow!C21</f>
        <v>0.8294362400528459</v>
      </c>
      <c r="AC20" s="34">
        <f t="shared" si="10"/>
        <v>3688.8</v>
      </c>
      <c r="AD20" s="8">
        <f>AnnualFactorsLow!D21</f>
        <v>0.31789787740462805</v>
      </c>
      <c r="AE20" s="34">
        <f t="shared" si="11"/>
        <v>1172.7</v>
      </c>
      <c r="AF20" s="8">
        <f>AnnualFactorsLow!E21</f>
        <v>0.1690969097794838</v>
      </c>
      <c r="AG20">
        <f t="shared" si="12"/>
        <v>623.8</v>
      </c>
      <c r="AH20" s="34">
        <f t="shared" si="13"/>
        <v>5485.3</v>
      </c>
      <c r="AI20">
        <f>ROUND(AnnualFactorsLow!H21*AH20,1)</f>
        <v>114.6</v>
      </c>
      <c r="AJ20" s="34">
        <f t="shared" si="14"/>
        <v>5370.7</v>
      </c>
      <c r="AK20" s="9">
        <f>AnnualFactorsLow!I21</f>
        <v>2.58399535842786</v>
      </c>
      <c r="AL20" s="34">
        <f t="shared" si="15"/>
        <v>2078.4</v>
      </c>
      <c r="AN20" s="96">
        <f t="shared" si="16"/>
        <v>5317.4</v>
      </c>
      <c r="AO20" s="96">
        <f t="shared" si="17"/>
        <v>111.3</v>
      </c>
      <c r="AP20" s="96">
        <f t="shared" si="18"/>
        <v>5206.099999999999</v>
      </c>
      <c r="AQ20" s="34">
        <f t="shared" si="19"/>
        <v>2014.7482010832503</v>
      </c>
      <c r="AS20" s="60">
        <f t="shared" si="0"/>
        <v>1136.8047290029715</v>
      </c>
      <c r="AT20" s="60">
        <f t="shared" si="1"/>
        <v>3575.889216633547</v>
      </c>
      <c r="AU20" s="60">
        <f t="shared" si="2"/>
        <v>604.7060543634805</v>
      </c>
      <c r="AV20" s="115">
        <f t="shared" si="3"/>
        <v>0.06371258950976191</v>
      </c>
    </row>
    <row r="21" spans="1:48" ht="12.75">
      <c r="A21">
        <v>2019</v>
      </c>
      <c r="B21" s="34">
        <f>SectorParameters!E$18+(SectorParameters!E$19*LN(A21))+SectorParameters!E$20*LN(NationalDataLow!X63)</f>
        <v>46.639422625640464</v>
      </c>
      <c r="C21" s="34">
        <f>SectorParameters!E$11+(SectorParameters!E$12*NationalDataLow!Z63+SectorParameters!E$13*B21)</f>
        <v>124.72280446622915</v>
      </c>
      <c r="D21" s="34">
        <f>EXP(SectorParameters!B$11+SectorParameters!B$12*LN(NationalDataLow!Y63))</f>
        <v>178.89723765945422</v>
      </c>
      <c r="E21" s="34">
        <f>SectorParameters!H$3+(SectorParameters!H$4*NationalDataLow!AC63+SectorParameters!H$5*D20)</f>
        <v>160.17843578795103</v>
      </c>
      <c r="F21" s="34">
        <f>SectorParameters!H$11+SectorParameters!H$12*NationalDataLow!AG63</f>
        <v>69.15625500939697</v>
      </c>
      <c r="G21" s="34">
        <f>SectorParameters!B$3+SectorParameters!B$4*NationalDataLow!AA63</f>
        <v>451.6165705908208</v>
      </c>
      <c r="H21" s="34">
        <f>EXP(SectorParameters!E$3+SectorParameters!E$4*LN(G20)+SectorParameters!E$5*LN(NationalDataLow!AB63))</f>
        <v>102.75152101682637</v>
      </c>
      <c r="I21" s="34">
        <f>SectorParameters!H$18+(SectorParameters!H$19*NationalDataLow!AF63+SectorParameters!H$20*AN20)</f>
        <v>227.79434235068976</v>
      </c>
      <c r="J21" s="34">
        <f>SectorParameters!B$26+SectorParameters!B$27*NationalDataLow!AE63</f>
        <v>583.6450411304147</v>
      </c>
      <c r="K21" s="34">
        <f>SectorParameters!E$26+SectorParameters!E$27*NationalDataLow!AH63</f>
        <v>680.637238668737</v>
      </c>
      <c r="L21" s="34">
        <f>SectorParameters!B$18+SectorParameters!B$19*NationalDataLow!AI63</f>
        <v>277.03155309132654</v>
      </c>
      <c r="N21" s="34">
        <f t="shared" si="4"/>
        <v>2903.1</v>
      </c>
      <c r="O21" s="34"/>
      <c r="P21">
        <f>AnnualFactorsLow!J22</f>
        <v>331.21</v>
      </c>
      <c r="Q21" s="34">
        <f t="shared" si="5"/>
        <v>3234.3</v>
      </c>
      <c r="R21" s="34">
        <f>ROUND((AnnualFactorsLow!G22*Q21),1)</f>
        <v>175</v>
      </c>
      <c r="S21" s="34">
        <f t="shared" si="6"/>
        <v>3409.3</v>
      </c>
      <c r="T21" s="34">
        <f>ROUND(AnnualFactorsLow!K22,1)</f>
        <v>83.5</v>
      </c>
      <c r="U21" s="34">
        <f t="shared" si="7"/>
        <v>3492.8</v>
      </c>
      <c r="V21" s="34"/>
      <c r="W21" s="34">
        <f>ROUND(AnnualFactorsLow!B22*U21,1)</f>
        <v>209.6</v>
      </c>
      <c r="X21" s="34">
        <f t="shared" si="8"/>
        <v>3283.2000000000003</v>
      </c>
      <c r="Y21" s="60">
        <f>ROUND(AnnualFactorsLow!F22*X21,1)</f>
        <v>209.7</v>
      </c>
      <c r="Z21" s="34">
        <f t="shared" si="9"/>
        <v>3073.5000000000005</v>
      </c>
      <c r="AB21" s="95">
        <f>AnnualFactorsLow!C22</f>
        <v>0.828417494395021</v>
      </c>
      <c r="AC21" s="34">
        <f t="shared" si="10"/>
        <v>3710.1</v>
      </c>
      <c r="AD21" s="8">
        <f>AnnualFactorsLow!D22</f>
        <v>0.3200116393705585</v>
      </c>
      <c r="AE21" s="34">
        <f t="shared" si="11"/>
        <v>1187.3</v>
      </c>
      <c r="AF21" s="8">
        <f>AnnualFactorsLow!E22</f>
        <v>0.1741343089969416</v>
      </c>
      <c r="AG21">
        <f t="shared" si="12"/>
        <v>646.1</v>
      </c>
      <c r="AH21" s="34">
        <f t="shared" si="13"/>
        <v>5543.5</v>
      </c>
      <c r="AI21">
        <f>ROUND(AnnualFactorsLow!H22*AH21,1)</f>
        <v>116.4</v>
      </c>
      <c r="AJ21" s="34">
        <f t="shared" si="14"/>
        <v>5427.1</v>
      </c>
      <c r="AK21" s="9">
        <f>AnnualFactorsLow!I22</f>
        <v>2.581996906416404</v>
      </c>
      <c r="AL21" s="34">
        <f t="shared" si="15"/>
        <v>2101.9</v>
      </c>
      <c r="AN21" s="96">
        <f t="shared" si="16"/>
        <v>5373.8</v>
      </c>
      <c r="AO21" s="96">
        <f t="shared" si="17"/>
        <v>113.1</v>
      </c>
      <c r="AP21" s="96">
        <f t="shared" si="18"/>
        <v>5260.7</v>
      </c>
      <c r="AQ21" s="34">
        <f t="shared" si="19"/>
        <v>2037.4540290605585</v>
      </c>
      <c r="AS21" s="60">
        <f t="shared" si="0"/>
        <v>1150.95386308289</v>
      </c>
      <c r="AT21" s="60">
        <f t="shared" si="1"/>
        <v>3596.5248272751874</v>
      </c>
      <c r="AU21" s="60">
        <f t="shared" si="2"/>
        <v>626.321309641923</v>
      </c>
      <c r="AV21" s="115">
        <f t="shared" si="3"/>
        <v>0.06387061403508772</v>
      </c>
    </row>
    <row r="22" spans="1:48" s="98" customFormat="1" ht="12.75">
      <c r="A22" s="98">
        <v>2020</v>
      </c>
      <c r="B22" s="34">
        <f>SectorParameters!E$18+(SectorParameters!E$19*LN(A22))+SectorParameters!E$20*LN(NationalDataLow!X64)</f>
        <v>45.144967438289086</v>
      </c>
      <c r="C22" s="34">
        <f>SectorParameters!E$11+(SectorParameters!E$12*NationalDataLow!Z64+SectorParameters!E$13*B22)</f>
        <v>123.89928372018983</v>
      </c>
      <c r="D22" s="34">
        <f>EXP(SectorParameters!B$11+SectorParameters!B$12*LN(NationalDataLow!Y64))</f>
        <v>178.99625553581294</v>
      </c>
      <c r="E22" s="34">
        <f>SectorParameters!H$3+(SectorParameters!H$4*NationalDataLow!AC64+SectorParameters!H$5*D21)</f>
        <v>160.1479889682663</v>
      </c>
      <c r="F22" s="34">
        <f>SectorParameters!H$11+SectorParameters!H$12*NationalDataLow!AG64</f>
        <v>69.04840082769554</v>
      </c>
      <c r="G22" s="34">
        <f>SectorParameters!B$3+SectorParameters!B$4*NationalDataLow!AA64</f>
        <v>452.6063365341278</v>
      </c>
      <c r="H22" s="34">
        <f>EXP(SectorParameters!E$3+SectorParameters!E$4*LN(G21)+SectorParameters!E$5*LN(NationalDataLow!AB64))</f>
        <v>102.98379069884342</v>
      </c>
      <c r="I22" s="34">
        <f>SectorParameters!H$18+(SectorParameters!H$19*NationalDataLow!AF64+SectorParameters!H$20*AN21)</f>
        <v>231.6183346377312</v>
      </c>
      <c r="J22" s="34">
        <f>SectorParameters!B$26+SectorParameters!B$27*NationalDataLow!AE64</f>
        <v>597.1648873868292</v>
      </c>
      <c r="K22" s="34">
        <f>SectorParameters!E$26+SectorParameters!E$27*NationalDataLow!AH64</f>
        <v>679.3873101272675</v>
      </c>
      <c r="L22" s="34">
        <f>SectorParameters!B$18+SectorParameters!B$19*NationalDataLow!AI64</f>
        <v>277.37575388086236</v>
      </c>
      <c r="N22" s="100">
        <f t="shared" si="4"/>
        <v>2918.4</v>
      </c>
      <c r="O22" s="100"/>
      <c r="P22" s="98">
        <f>AnnualFactorsLow!J23</f>
        <v>331.077</v>
      </c>
      <c r="Q22" s="100">
        <f t="shared" si="5"/>
        <v>3249.5</v>
      </c>
      <c r="R22" s="100">
        <f>ROUND((AnnualFactorsLow!G23*Q22),1)</f>
        <v>175.8</v>
      </c>
      <c r="S22" s="100">
        <f t="shared" si="6"/>
        <v>3425.3</v>
      </c>
      <c r="T22" s="100">
        <f>ROUND(AnnualFactorsLow!K23,1)</f>
        <v>83.6</v>
      </c>
      <c r="U22" s="100">
        <f t="shared" si="7"/>
        <v>3508.9</v>
      </c>
      <c r="V22" s="100"/>
      <c r="W22" s="100">
        <f>ROUND(AnnualFactorsLow!B23*U22,1)</f>
        <v>210.5</v>
      </c>
      <c r="X22" s="100">
        <f t="shared" si="8"/>
        <v>3298.4</v>
      </c>
      <c r="Y22" s="100">
        <f>ROUND(AnnualFactorsLow!F23*X22,1)</f>
        <v>211.1</v>
      </c>
      <c r="Z22" s="100">
        <f t="shared" si="9"/>
        <v>3087.3</v>
      </c>
      <c r="AB22" s="101">
        <f>AnnualFactorsLow!C23</f>
        <v>0.8274</v>
      </c>
      <c r="AC22" s="100">
        <f t="shared" si="10"/>
        <v>3731.3</v>
      </c>
      <c r="AD22" s="102">
        <f>AnnualFactorsLow!D23</f>
        <v>0.32213945613196304</v>
      </c>
      <c r="AE22" s="100">
        <f t="shared" si="11"/>
        <v>1202</v>
      </c>
      <c r="AF22" s="102">
        <f>AnnualFactorsLow!E23</f>
        <v>0.17932177240486352</v>
      </c>
      <c r="AG22" s="98">
        <f t="shared" si="12"/>
        <v>669.1</v>
      </c>
      <c r="AH22" s="100">
        <f t="shared" si="13"/>
        <v>5602.400000000001</v>
      </c>
      <c r="AI22" s="98">
        <f>ROUND(AnnualFactorsLow!H23*AH22,1)</f>
        <v>118.2</v>
      </c>
      <c r="AJ22" s="100">
        <f t="shared" si="14"/>
        <v>5484.200000000001</v>
      </c>
      <c r="AK22" s="103">
        <f>AnnualFactorsLow!I23</f>
        <v>2.58</v>
      </c>
      <c r="AL22" s="100">
        <f t="shared" si="15"/>
        <v>2125.7</v>
      </c>
      <c r="AN22" s="104">
        <f t="shared" si="16"/>
        <v>5430.9</v>
      </c>
      <c r="AO22" s="104">
        <f t="shared" si="17"/>
        <v>114.8</v>
      </c>
      <c r="AP22" s="104">
        <f t="shared" si="18"/>
        <v>5316.099999999999</v>
      </c>
      <c r="AQ22" s="100">
        <f t="shared" si="19"/>
        <v>2060.503875968992</v>
      </c>
      <c r="AS22" s="100">
        <f t="shared" si="0"/>
        <v>1165.2045194916461</v>
      </c>
      <c r="AT22" s="100">
        <f t="shared" si="1"/>
        <v>3617.077889832928</v>
      </c>
      <c r="AU22" s="100">
        <f t="shared" si="2"/>
        <v>648.6175906754247</v>
      </c>
      <c r="AV22" s="115">
        <f t="shared" si="3"/>
        <v>0.0640007276255154</v>
      </c>
    </row>
    <row r="23" spans="1:48" ht="12.75">
      <c r="A23">
        <v>2021</v>
      </c>
      <c r="B23" s="34">
        <f>SectorParameters!E$18+(SectorParameters!E$19*LN(A23))+SectorParameters!E$20*LN(NationalDataLow!X65)</f>
        <v>43.53650028086588</v>
      </c>
      <c r="C23" s="34">
        <f>SectorParameters!E$11+(SectorParameters!E$12*NationalDataLow!Z65+SectorParameters!E$13*B23)</f>
        <v>122.86014914148186</v>
      </c>
      <c r="D23" s="34">
        <f>EXP(SectorParameters!B$11+SectorParameters!B$12*LN(NationalDataLow!Y65))</f>
        <v>178.7312588158679</v>
      </c>
      <c r="E23" s="34">
        <f>SectorParameters!H$3+(SectorParameters!H$4*NationalDataLow!AC65+SectorParameters!H$5*D22)</f>
        <v>159.94349818519444</v>
      </c>
      <c r="F23" s="34">
        <f>SectorParameters!H$11+SectorParameters!H$12*NationalDataLow!AG65</f>
        <v>68.88661955514337</v>
      </c>
      <c r="G23" s="34">
        <f>SectorParameters!B$3+SectorParameters!B$4*NationalDataLow!AA65</f>
        <v>453.1995295910593</v>
      </c>
      <c r="H23" s="34">
        <f>EXP(SectorParameters!E$3+SectorParameters!E$4*LN(G22)+SectorParameters!E$5*LN(NationalDataLow!AB65))</f>
        <v>103.15317560382245</v>
      </c>
      <c r="I23" s="34">
        <f>SectorParameters!H$18+(SectorParameters!H$19*NationalDataLow!AF65+SectorParameters!H$20*AN22)</f>
        <v>235.39765178723093</v>
      </c>
      <c r="J23" s="34">
        <f>SectorParameters!B$26+SectorParameters!B$27*NationalDataLow!AE65</f>
        <v>610.3987966649471</v>
      </c>
      <c r="K23" s="34">
        <f>SectorParameters!E$26+SectorParameters!E$27*NationalDataLow!AH65</f>
        <v>677.3502545742606</v>
      </c>
      <c r="L23" s="34">
        <f>SectorParameters!B$18+SectorParameters!B$19*NationalDataLow!AI65</f>
        <v>277.4590723259484</v>
      </c>
      <c r="N23" s="34">
        <f t="shared" si="4"/>
        <v>2930.9</v>
      </c>
      <c r="O23" s="34"/>
      <c r="P23">
        <f>AnnualFactorsLow!J24</f>
        <v>330.94300000000004</v>
      </c>
      <c r="Q23" s="34">
        <f t="shared" si="5"/>
        <v>3261.8</v>
      </c>
      <c r="R23" s="34">
        <f>ROUND((AnnualFactorsLow!G24*Q23),1)</f>
        <v>176.5</v>
      </c>
      <c r="S23" s="34">
        <f t="shared" si="6"/>
        <v>3438.3</v>
      </c>
      <c r="T23" s="34">
        <f>ROUND(AnnualFactorsLow!K24,1)</f>
        <v>83.7</v>
      </c>
      <c r="U23" s="34">
        <f t="shared" si="7"/>
        <v>3522</v>
      </c>
      <c r="V23" s="34"/>
      <c r="W23" s="34">
        <f>ROUND(AnnualFactorsLow!B24*U23,1)</f>
        <v>211.3</v>
      </c>
      <c r="X23" s="34">
        <f t="shared" si="8"/>
        <v>3310.7</v>
      </c>
      <c r="Y23" s="60">
        <f>ROUND(AnnualFactorsLow!F24*X23,1)</f>
        <v>212.3</v>
      </c>
      <c r="Z23" s="34">
        <f t="shared" si="9"/>
        <v>3098.3999999999996</v>
      </c>
      <c r="AB23" s="95">
        <f>AnnualFactorsLow!C24</f>
        <v>0.8275599381552847</v>
      </c>
      <c r="AC23" s="34">
        <f t="shared" si="10"/>
        <v>3744</v>
      </c>
      <c r="AD23" s="8">
        <f>AnnualFactorsLow!D24</f>
        <v>0.3243192880727417</v>
      </c>
      <c r="AE23" s="34">
        <f t="shared" si="11"/>
        <v>1214.3</v>
      </c>
      <c r="AF23" s="8">
        <f>AnnualFactorsLow!E24</f>
        <v>0.18465078552638772</v>
      </c>
      <c r="AG23">
        <f t="shared" si="12"/>
        <v>691.3</v>
      </c>
      <c r="AH23" s="34">
        <f t="shared" si="13"/>
        <v>5649.6</v>
      </c>
      <c r="AI23">
        <f>ROUND(AnnualFactorsLow!H24*AH23,1)</f>
        <v>119.8</v>
      </c>
      <c r="AJ23" s="34">
        <f t="shared" si="14"/>
        <v>5529.8</v>
      </c>
      <c r="AK23" s="9">
        <f>AnnualFactorsLow!I24</f>
        <v>2.5739718967245153</v>
      </c>
      <c r="AL23" s="34">
        <f t="shared" si="15"/>
        <v>2148.4</v>
      </c>
      <c r="AN23" s="96">
        <f t="shared" si="16"/>
        <v>5476.7</v>
      </c>
      <c r="AO23" s="96">
        <f t="shared" si="17"/>
        <v>116.4</v>
      </c>
      <c r="AP23" s="96">
        <f t="shared" si="18"/>
        <v>5360.3</v>
      </c>
      <c r="AQ23" s="34">
        <f t="shared" si="19"/>
        <v>2082.501369506482</v>
      </c>
      <c r="AS23" s="60">
        <f t="shared" si="0"/>
        <v>1177.1376398329085</v>
      </c>
      <c r="AT23" s="60">
        <f t="shared" si="1"/>
        <v>3629.418861512319</v>
      </c>
      <c r="AU23" s="60">
        <f t="shared" si="2"/>
        <v>670.143498654772</v>
      </c>
      <c r="AV23" s="115">
        <f t="shared" si="3"/>
        <v>0.06412541154438639</v>
      </c>
    </row>
    <row r="24" spans="1:48" ht="12.75">
      <c r="A24">
        <v>2022</v>
      </c>
      <c r="B24" s="34">
        <f>SectorParameters!E$18+(SectorParameters!E$19*LN(A24))+SectorParameters!E$20*LN(NationalDataLow!X66)</f>
        <v>41.931457642790406</v>
      </c>
      <c r="C24" s="34">
        <f>SectorParameters!E$11+(SectorParameters!E$12*NationalDataLow!Z66+SectorParameters!E$13*B24)</f>
        <v>121.78358938137043</v>
      </c>
      <c r="D24" s="34">
        <f>EXP(SectorParameters!B$11+SectorParameters!B$12*LN(NationalDataLow!Y66))</f>
        <v>178.43722280117146</v>
      </c>
      <c r="E24" s="34">
        <f>SectorParameters!H$3+(SectorParameters!H$4*NationalDataLow!AC66+SectorParameters!H$5*D23)</f>
        <v>159.66533749840448</v>
      </c>
      <c r="F24" s="34">
        <f>SectorParameters!H$11+SectorParameters!H$12*NationalDataLow!AG66</f>
        <v>68.72069004483346</v>
      </c>
      <c r="G24" s="34">
        <f>SectorParameters!B$3+SectorParameters!B$4*NationalDataLow!AA66</f>
        <v>453.7177403795584</v>
      </c>
      <c r="H24" s="34">
        <f>EXP(SectorParameters!E$3+SectorParameters!E$4*LN(G23)+SectorParameters!E$5*LN(NationalDataLow!AB66))</f>
        <v>103.24660121211059</v>
      </c>
      <c r="I24" s="34">
        <f>SectorParameters!H$18+(SectorParameters!H$19*NationalDataLow!AF66+SectorParameters!H$20*AN23)</f>
        <v>238.65899864175668</v>
      </c>
      <c r="J24" s="34">
        <f>SectorParameters!B$26+SectorParameters!B$27*NationalDataLow!AE66</f>
        <v>623.7539183577776</v>
      </c>
      <c r="K24" s="34">
        <f>SectorParameters!E$26+SectorParameters!E$27*NationalDataLow!AH66</f>
        <v>675.0981967356947</v>
      </c>
      <c r="L24" s="34">
        <f>SectorParameters!B$18+SectorParameters!B$19*NationalDataLow!AI66</f>
        <v>277.5096097434596</v>
      </c>
      <c r="N24" s="34">
        <f t="shared" si="4"/>
        <v>2942.5</v>
      </c>
      <c r="O24" s="34"/>
      <c r="P24">
        <f>AnnualFactorsLow!J25</f>
        <v>330.81</v>
      </c>
      <c r="Q24" s="34">
        <f t="shared" si="5"/>
        <v>3273.3</v>
      </c>
      <c r="R24" s="34">
        <f>ROUND((AnnualFactorsLow!G25*Q24),1)</f>
        <v>177.1</v>
      </c>
      <c r="S24" s="34">
        <f t="shared" si="6"/>
        <v>3450.4</v>
      </c>
      <c r="T24" s="34">
        <f>ROUND(AnnualFactorsLow!K25,1)</f>
        <v>83.8</v>
      </c>
      <c r="U24" s="34">
        <f t="shared" si="7"/>
        <v>3534.2000000000003</v>
      </c>
      <c r="V24" s="34"/>
      <c r="W24" s="34">
        <f>ROUND(AnnualFactorsLow!B25*U24,1)</f>
        <v>212.1</v>
      </c>
      <c r="X24" s="34">
        <f t="shared" si="8"/>
        <v>3322.1000000000004</v>
      </c>
      <c r="Y24" s="60">
        <f>ROUND(AnnualFactorsLow!F25*X24,1)</f>
        <v>213.5</v>
      </c>
      <c r="Z24" s="34">
        <f t="shared" si="9"/>
        <v>3108.6000000000004</v>
      </c>
      <c r="AB24" s="95">
        <f>AnnualFactorsLow!C25</f>
        <v>0.8277199072269502</v>
      </c>
      <c r="AC24" s="34">
        <f t="shared" si="10"/>
        <v>3755.6</v>
      </c>
      <c r="AD24" s="8">
        <f>AnnualFactorsLow!D25</f>
        <v>0.3265138703559562</v>
      </c>
      <c r="AE24" s="34">
        <f t="shared" si="11"/>
        <v>1226.3</v>
      </c>
      <c r="AF24" s="8">
        <f>AnnualFactorsLow!E25</f>
        <v>0.19013816414067128</v>
      </c>
      <c r="AG24">
        <f t="shared" si="12"/>
        <v>714.1</v>
      </c>
      <c r="AH24" s="34">
        <f t="shared" si="13"/>
        <v>5696</v>
      </c>
      <c r="AI24">
        <f>ROUND(AnnualFactorsLow!H25*AH24,1)</f>
        <v>121.3</v>
      </c>
      <c r="AJ24" s="34">
        <f t="shared" si="14"/>
        <v>5574.7</v>
      </c>
      <c r="AK24" s="9">
        <f>AnnualFactorsLow!I25</f>
        <v>2.567957877956434</v>
      </c>
      <c r="AL24" s="34">
        <f t="shared" si="15"/>
        <v>2170.9</v>
      </c>
      <c r="AN24" s="96">
        <f t="shared" si="16"/>
        <v>5521.7</v>
      </c>
      <c r="AO24" s="96">
        <f t="shared" si="17"/>
        <v>117.8</v>
      </c>
      <c r="AP24" s="96">
        <f t="shared" si="18"/>
        <v>5403.9</v>
      </c>
      <c r="AQ24" s="34">
        <f t="shared" si="19"/>
        <v>2104.356946968457</v>
      </c>
      <c r="AS24" s="60">
        <f t="shared" si="0"/>
        <v>1188.7747033005617</v>
      </c>
      <c r="AT24" s="60">
        <f t="shared" si="1"/>
        <v>3640.6770575842693</v>
      </c>
      <c r="AU24" s="60">
        <f t="shared" si="2"/>
        <v>692.2482391151685</v>
      </c>
      <c r="AV24" s="115">
        <f t="shared" si="3"/>
        <v>0.06426657836910388</v>
      </c>
    </row>
    <row r="25" spans="1:48" ht="12.75">
      <c r="A25">
        <v>2023</v>
      </c>
      <c r="B25" s="34">
        <f>SectorParameters!E$18+(SectorParameters!E$19*LN(A25))+SectorParameters!E$20*LN(NationalDataLow!X67)</f>
        <v>40.297018254803675</v>
      </c>
      <c r="C25" s="34">
        <f>SectorParameters!E$11+(SectorParameters!E$12*NationalDataLow!Z67+SectorParameters!E$13*B25)</f>
        <v>120.64695960025676</v>
      </c>
      <c r="D25" s="34">
        <f>EXP(SectorParameters!B$11+SectorParameters!B$12*LN(NationalDataLow!Y67))</f>
        <v>178.1199927819954</v>
      </c>
      <c r="E25" s="34">
        <f>SectorParameters!H$3+(SectorParameters!H$4*NationalDataLow!AC67+SectorParameters!H$5*D24)</f>
        <v>159.36527548168957</v>
      </c>
      <c r="F25" s="34">
        <f>SectorParameters!H$11+SectorParameters!H$12*NationalDataLow!AG67</f>
        <v>68.55268641564469</v>
      </c>
      <c r="G25" s="34">
        <f>SectorParameters!B$3+SectorParameters!B$4*NationalDataLow!AA67</f>
        <v>454.15930262699334</v>
      </c>
      <c r="H25" s="34">
        <f>EXP(SectorParameters!E$3+SectorParameters!E$4*LN(G24)+SectorParameters!E$5*LN(NationalDataLow!AB67))</f>
        <v>103.31428096911327</v>
      </c>
      <c r="I25" s="34">
        <f>SectorParameters!H$18+(SectorParameters!H$19*NationalDataLow!AF67+SectorParameters!H$20*AN24)</f>
        <v>241.88141733312784</v>
      </c>
      <c r="J25" s="34">
        <f>SectorParameters!B$26+SectorParameters!B$27*NationalDataLow!AE67</f>
        <v>637.2209284334199</v>
      </c>
      <c r="K25" s="34">
        <f>SectorParameters!E$26+SectorParameters!E$27*NationalDataLow!AH67</f>
        <v>672.627492505035</v>
      </c>
      <c r="L25" s="34">
        <f>SectorParameters!B$18+SectorParameters!B$19*NationalDataLow!AI67</f>
        <v>277.5287320095449</v>
      </c>
      <c r="N25" s="34">
        <f t="shared" si="4"/>
        <v>2953.7</v>
      </c>
      <c r="O25" s="34"/>
      <c r="P25">
        <f>AnnualFactorsLow!J26</f>
        <v>330.676</v>
      </c>
      <c r="Q25" s="34">
        <f t="shared" si="5"/>
        <v>3284.4</v>
      </c>
      <c r="R25" s="34">
        <f>ROUND((AnnualFactorsLow!G26*Q25),1)</f>
        <v>177.7</v>
      </c>
      <c r="S25" s="34">
        <f t="shared" si="6"/>
        <v>3462.1</v>
      </c>
      <c r="T25" s="34">
        <f>ROUND(AnnualFactorsLow!K26,1)</f>
        <v>83.8</v>
      </c>
      <c r="U25" s="34">
        <f t="shared" si="7"/>
        <v>3545.9</v>
      </c>
      <c r="V25" s="34"/>
      <c r="W25" s="34">
        <f>ROUND(AnnualFactorsLow!B26*U25,1)</f>
        <v>212.8</v>
      </c>
      <c r="X25" s="34">
        <f t="shared" si="8"/>
        <v>3333.1</v>
      </c>
      <c r="Y25" s="60">
        <f>ROUND(AnnualFactorsLow!F26*X25,1)</f>
        <v>214.7</v>
      </c>
      <c r="Z25" s="34">
        <f t="shared" si="9"/>
        <v>3118.4</v>
      </c>
      <c r="AB25" s="95">
        <f>AnnualFactorsLow!C26</f>
        <v>0.8278799072209728</v>
      </c>
      <c r="AC25" s="34">
        <f t="shared" si="10"/>
        <v>3766.7</v>
      </c>
      <c r="AD25" s="8">
        <f>AnnualFactorsLow!D26</f>
        <v>0.32872330279324696</v>
      </c>
      <c r="AE25" s="34">
        <f t="shared" si="11"/>
        <v>1238.2</v>
      </c>
      <c r="AF25" s="8">
        <f>AnnualFactorsLow!E26</f>
        <v>0.19578861449045087</v>
      </c>
      <c r="AG25">
        <f t="shared" si="12"/>
        <v>737.5</v>
      </c>
      <c r="AH25" s="34">
        <f t="shared" si="13"/>
        <v>5742.4</v>
      </c>
      <c r="AI25">
        <f>ROUND(AnnualFactorsLow!H26*AH25,1)</f>
        <v>122.9</v>
      </c>
      <c r="AJ25" s="34">
        <f t="shared" si="14"/>
        <v>5619.5</v>
      </c>
      <c r="AK25" s="9">
        <f>AnnualFactorsLow!I26</f>
        <v>2.5619579107876684</v>
      </c>
      <c r="AL25" s="34">
        <f t="shared" si="15"/>
        <v>2193.4</v>
      </c>
      <c r="AN25" s="96">
        <f t="shared" si="16"/>
        <v>5566.6</v>
      </c>
      <c r="AO25" s="96">
        <f t="shared" si="17"/>
        <v>119.4</v>
      </c>
      <c r="AP25" s="96">
        <f t="shared" si="18"/>
        <v>5447.200000000001</v>
      </c>
      <c r="AQ25" s="34">
        <f t="shared" si="19"/>
        <v>2126.186373735262</v>
      </c>
      <c r="AS25" s="60">
        <f t="shared" si="0"/>
        <v>1200.2932780718866</v>
      </c>
      <c r="AT25" s="60">
        <f t="shared" si="1"/>
        <v>3651.3848251602117</v>
      </c>
      <c r="AU25" s="60">
        <f t="shared" si="2"/>
        <v>714.921896767902</v>
      </c>
      <c r="AV25" s="115">
        <f t="shared" si="3"/>
        <v>0.06441450901563109</v>
      </c>
    </row>
    <row r="26" spans="1:48" ht="12.75">
      <c r="A26">
        <v>2024</v>
      </c>
      <c r="B26" s="34">
        <f>SectorParameters!E$18+(SectorParameters!E$19*LN(A26))+SectorParameters!E$20*LN(NationalDataLow!X68)</f>
        <v>38.654696876720664</v>
      </c>
      <c r="C26" s="34">
        <f>SectorParameters!E$11+(SectorParameters!E$12*NationalDataLow!Z68+SectorParameters!E$13*B26)</f>
        <v>119.46569701920617</v>
      </c>
      <c r="D26" s="34">
        <f>EXP(SectorParameters!B$11+SectorParameters!B$12*LN(NationalDataLow!Y68))</f>
        <v>177.77668190088505</v>
      </c>
      <c r="E26" s="34">
        <f>SectorParameters!H$3+(SectorParameters!H$4*NationalDataLow!AC68+SectorParameters!H$5*D25)</f>
        <v>159.04427522919568</v>
      </c>
      <c r="F26" s="34">
        <f>SectorParameters!H$11+SectorParameters!H$12*NationalDataLow!AG68</f>
        <v>68.37846042981927</v>
      </c>
      <c r="G26" s="34">
        <f>SectorParameters!B$3+SectorParameters!B$4*NationalDataLow!AA68</f>
        <v>454.52088378810043</v>
      </c>
      <c r="H26" s="34">
        <f>EXP(SectorParameters!E$3+SectorParameters!E$4*LN(G25)+SectorParameters!E$5*LN(NationalDataLow!AB68))</f>
        <v>103.35522916020626</v>
      </c>
      <c r="I26" s="34">
        <f>SectorParameters!H$18+(SectorParameters!H$19*NationalDataLow!AF68+SectorParameters!H$20*AN25)</f>
        <v>245.09699451678523</v>
      </c>
      <c r="J26" s="34">
        <f>SectorParameters!B$26+SectorParameters!B$27*NationalDataLow!AE68</f>
        <v>650.7967188812402</v>
      </c>
      <c r="K26" s="34">
        <f>SectorParameters!E$26+SectorParameters!E$27*NationalDataLow!AH68</f>
        <v>669.9308536692117</v>
      </c>
      <c r="L26" s="34">
        <f>SectorParameters!B$18+SectorParameters!B$19*NationalDataLow!AI68</f>
        <v>277.5123414957575</v>
      </c>
      <c r="N26" s="34">
        <f t="shared" si="4"/>
        <v>2964.5</v>
      </c>
      <c r="O26" s="34"/>
      <c r="P26">
        <f>AnnualFactorsLow!J27</f>
        <v>330.54200000000003</v>
      </c>
      <c r="Q26" s="34">
        <f t="shared" si="5"/>
        <v>3295</v>
      </c>
      <c r="R26" s="34">
        <f>ROUND((AnnualFactorsLow!G27*Q26),1)</f>
        <v>178.3</v>
      </c>
      <c r="S26" s="34">
        <f t="shared" si="6"/>
        <v>3473.3</v>
      </c>
      <c r="T26" s="34">
        <f>ROUND(AnnualFactorsLow!K27,1)</f>
        <v>83.8</v>
      </c>
      <c r="U26" s="34">
        <f t="shared" si="7"/>
        <v>3557.1000000000004</v>
      </c>
      <c r="V26" s="34"/>
      <c r="W26" s="34">
        <f>ROUND(AnnualFactorsLow!B27*U26,1)</f>
        <v>213.4</v>
      </c>
      <c r="X26" s="34">
        <f t="shared" si="8"/>
        <v>3343.7000000000003</v>
      </c>
      <c r="Y26" s="60">
        <f>ROUND(AnnualFactorsLow!F27*X26,1)</f>
        <v>215.9</v>
      </c>
      <c r="Z26" s="34">
        <f t="shared" si="9"/>
        <v>3127.8</v>
      </c>
      <c r="AB26" s="95">
        <f>AnnualFactorsLow!C27</f>
        <v>0.8280399381433298</v>
      </c>
      <c r="AC26" s="34">
        <f t="shared" si="10"/>
        <v>3777.4</v>
      </c>
      <c r="AD26" s="8">
        <f>AnnualFactorsLow!D27</f>
        <v>0.33094768587165335</v>
      </c>
      <c r="AE26" s="34">
        <f t="shared" si="11"/>
        <v>1250.1</v>
      </c>
      <c r="AF26" s="8">
        <f>AnnualFactorsLow!E27</f>
        <v>0.20160698267671334</v>
      </c>
      <c r="AG26">
        <f t="shared" si="12"/>
        <v>761.6</v>
      </c>
      <c r="AH26" s="34">
        <f t="shared" si="13"/>
        <v>5789.1</v>
      </c>
      <c r="AI26">
        <f>ROUND(AnnualFactorsLow!H27*AH26,1)</f>
        <v>124.5</v>
      </c>
      <c r="AJ26" s="34">
        <f t="shared" si="14"/>
        <v>5664.6</v>
      </c>
      <c r="AK26" s="9">
        <f>AnnualFactorsLow!I27</f>
        <v>2.5559719623870203</v>
      </c>
      <c r="AL26" s="34">
        <f t="shared" si="15"/>
        <v>2216.2</v>
      </c>
      <c r="AN26" s="96">
        <f t="shared" si="16"/>
        <v>5611.9</v>
      </c>
      <c r="AO26" s="96">
        <f t="shared" si="17"/>
        <v>120.9</v>
      </c>
      <c r="AP26" s="96">
        <f t="shared" si="18"/>
        <v>5491</v>
      </c>
      <c r="AQ26" s="34">
        <f t="shared" si="19"/>
        <v>2148.30212568997</v>
      </c>
      <c r="AS26" s="60">
        <f t="shared" si="0"/>
        <v>1211.835378556252</v>
      </c>
      <c r="AT26" s="60">
        <f t="shared" si="1"/>
        <v>3661.7766250367063</v>
      </c>
      <c r="AU26" s="60">
        <f t="shared" si="2"/>
        <v>738.2879964070409</v>
      </c>
      <c r="AV26" s="115">
        <f t="shared" si="3"/>
        <v>0.06456918981966085</v>
      </c>
    </row>
    <row r="27" spans="1:48" s="98" customFormat="1" ht="12.75">
      <c r="A27" s="98">
        <v>2025</v>
      </c>
      <c r="B27" s="34">
        <f>SectorParameters!E$18+(SectorParameters!E$19*LN(A27))+SectorParameters!E$20*LN(NationalDataLow!X69)</f>
        <v>36.99321086632972</v>
      </c>
      <c r="C27" s="34">
        <f>SectorParameters!E$11+(SectorParameters!E$12*NationalDataLow!Z69+SectorParameters!E$13*B27)</f>
        <v>118.22744294393385</v>
      </c>
      <c r="D27" s="34">
        <f>EXP(SectorParameters!B$11+SectorParameters!B$12*LN(NationalDataLow!Y69))</f>
        <v>177.40731706935483</v>
      </c>
      <c r="E27" s="34">
        <f>SectorParameters!H$3+(SectorParameters!H$4*NationalDataLow!AC69+SectorParameters!H$5*D26)</f>
        <v>158.70357275996483</v>
      </c>
      <c r="F27" s="34">
        <f>SectorParameters!H$11+SectorParameters!H$12*NationalDataLow!AG69</f>
        <v>68.20008620623612</v>
      </c>
      <c r="G27" s="34">
        <f>SectorParameters!B$3+SectorParameters!B$4*NationalDataLow!AA69</f>
        <v>454.79915131761607</v>
      </c>
      <c r="H27" s="34">
        <f>EXP(SectorParameters!E$3+SectorParameters!E$4*LN(G26)+SectorParameters!E$5*LN(NationalDataLow!AB69))</f>
        <v>103.36962516736945</v>
      </c>
      <c r="I27" s="34">
        <f>SectorParameters!H$18+(SectorParameters!H$19*NationalDataLow!AF69+SectorParameters!H$20*AN26)</f>
        <v>248.3278966657316</v>
      </c>
      <c r="J27" s="34">
        <f>SectorParameters!B$26+SectorParameters!B$27*NationalDataLow!AE69</f>
        <v>664.4750736799713</v>
      </c>
      <c r="K27" s="34">
        <f>SectorParameters!E$26+SectorParameters!E$27*NationalDataLow!AH69</f>
        <v>667.0009920151552</v>
      </c>
      <c r="L27" s="34">
        <f>SectorParameters!B$18+SectorParameters!B$19*NationalDataLow!AI69</f>
        <v>277.46316995439525</v>
      </c>
      <c r="N27" s="100">
        <f t="shared" si="4"/>
        <v>2975</v>
      </c>
      <c r="O27" s="100"/>
      <c r="P27" s="98">
        <f>AnnualFactorsLow!J28</f>
        <v>330.41100000000006</v>
      </c>
      <c r="Q27" s="100">
        <f t="shared" si="5"/>
        <v>3305.4</v>
      </c>
      <c r="R27" s="100">
        <f>ROUND((AnnualFactorsLow!G28*Q27),1)</f>
        <v>178.8</v>
      </c>
      <c r="S27" s="100">
        <f t="shared" si="6"/>
        <v>3484.2000000000003</v>
      </c>
      <c r="T27" s="100">
        <f>ROUND(AnnualFactorsLow!K28,1)</f>
        <v>83.8</v>
      </c>
      <c r="U27" s="100">
        <f t="shared" si="7"/>
        <v>3568.0000000000005</v>
      </c>
      <c r="V27" s="100"/>
      <c r="W27" s="100">
        <f>ROUND(AnnualFactorsLow!B28*U27,1)</f>
        <v>214.1</v>
      </c>
      <c r="X27" s="100">
        <f t="shared" si="8"/>
        <v>3353.9000000000005</v>
      </c>
      <c r="Y27" s="100">
        <f>ROUND(AnnualFactorsLow!F28*X27,1)</f>
        <v>217</v>
      </c>
      <c r="Z27" s="100">
        <f t="shared" si="9"/>
        <v>3136.9000000000005</v>
      </c>
      <c r="AB27" s="101">
        <f>AnnualFactorsLow!C28</f>
        <v>0.8282</v>
      </c>
      <c r="AC27" s="100">
        <f t="shared" si="10"/>
        <v>3787.6</v>
      </c>
      <c r="AD27" s="102">
        <f>AnnualFactorsLow!D28</f>
        <v>0.33318712075818346</v>
      </c>
      <c r="AE27" s="100">
        <f t="shared" si="11"/>
        <v>1262</v>
      </c>
      <c r="AF27" s="102">
        <f>AnnualFactorsLow!E28</f>
        <v>0.20759825881494756</v>
      </c>
      <c r="AG27" s="98">
        <f t="shared" si="12"/>
        <v>786.3</v>
      </c>
      <c r="AH27" s="100">
        <f t="shared" si="13"/>
        <v>5835.900000000001</v>
      </c>
      <c r="AI27" s="98">
        <f>ROUND(AnnualFactorsLow!H28*AH27,1)</f>
        <v>126.1</v>
      </c>
      <c r="AJ27" s="100">
        <f t="shared" si="14"/>
        <v>5709.8</v>
      </c>
      <c r="AK27" s="103">
        <f>AnnualFactorsLow!I28</f>
        <v>2.55</v>
      </c>
      <c r="AL27" s="100">
        <f t="shared" si="15"/>
        <v>2239.1</v>
      </c>
      <c r="AN27" s="104">
        <f t="shared" si="16"/>
        <v>5657.3</v>
      </c>
      <c r="AO27" s="104">
        <f t="shared" si="17"/>
        <v>122.5</v>
      </c>
      <c r="AP27" s="104">
        <f t="shared" si="18"/>
        <v>5534.8</v>
      </c>
      <c r="AQ27" s="100">
        <f t="shared" si="19"/>
        <v>2170.509803921569</v>
      </c>
      <c r="AS27" s="100">
        <f t="shared" si="0"/>
        <v>1223.378159324183</v>
      </c>
      <c r="AT27" s="100">
        <f t="shared" si="1"/>
        <v>3671.6855120889663</v>
      </c>
      <c r="AU27" s="100">
        <f t="shared" si="2"/>
        <v>762.2363285868503</v>
      </c>
      <c r="AV27" s="115">
        <f t="shared" si="3"/>
        <v>0.06470079608813618</v>
      </c>
    </row>
    <row r="28" spans="1:48" ht="12.75">
      <c r="A28">
        <v>2026</v>
      </c>
      <c r="B28" s="34">
        <f>SectorParameters!E$18+(SectorParameters!E$19*LN(A28))+SectorParameters!E$20*LN(NationalDataLow!X70)</f>
        <v>34.80519267653165</v>
      </c>
      <c r="C28" s="34">
        <f>SectorParameters!E$11+(SectorParameters!E$12*NationalDataLow!Z70+SectorParameters!E$13*B28)</f>
        <v>116.01980606429936</v>
      </c>
      <c r="D28" s="34">
        <f>EXP(SectorParameters!B$11+SectorParameters!B$12*LN(NationalDataLow!Y70))</f>
        <v>176.01252025262139</v>
      </c>
      <c r="E28" s="34">
        <f>SectorParameters!H$3+(SectorParameters!H$4*NationalDataLow!AC70+SectorParameters!H$5*D27)</f>
        <v>157.76976319573305</v>
      </c>
      <c r="F28" s="34">
        <f>SectorParameters!H$11+SectorParameters!H$12*NationalDataLow!AG70</f>
        <v>67.80392950037121</v>
      </c>
      <c r="G28" s="34">
        <f>SectorParameters!B$3+SectorParameters!B$4*NationalDataLow!AA70</f>
        <v>453.2578491331733</v>
      </c>
      <c r="H28" s="34">
        <f>EXP(SectorParameters!E$3+SectorParameters!E$4*LN(G27)+SectorParameters!E$5*LN(NationalDataLow!AB70))</f>
        <v>103.13143673724834</v>
      </c>
      <c r="I28" s="34">
        <f>SectorParameters!H$18+(SectorParameters!H$19*NationalDataLow!AF70+SectorParameters!H$20*AN27)</f>
        <v>251.12614142923667</v>
      </c>
      <c r="J28" s="34">
        <f>SectorParameters!B$26+SectorParameters!B$27*NationalDataLow!AE70</f>
        <v>675.7602602907854</v>
      </c>
      <c r="K28" s="34">
        <f>SectorParameters!E$26+SectorParameters!E$27*NationalDataLow!AH70</f>
        <v>660.8788930365295</v>
      </c>
      <c r="L28" s="34">
        <f>SectorParameters!B$18+SectorParameters!B$19*NationalDataLow!AI70</f>
        <v>276.3226633700207</v>
      </c>
      <c r="N28" s="34">
        <f t="shared" si="4"/>
        <v>2972.9</v>
      </c>
      <c r="O28" s="34"/>
      <c r="P28">
        <f>AnnualFactorsLow!J29</f>
        <v>330.41100000000006</v>
      </c>
      <c r="Q28" s="34">
        <f t="shared" si="5"/>
        <v>3303.3</v>
      </c>
      <c r="R28" s="34">
        <f>ROUND((AnnualFactorsLow!G29*Q28),1)</f>
        <v>178.7</v>
      </c>
      <c r="S28" s="34">
        <f t="shared" si="6"/>
        <v>3482</v>
      </c>
      <c r="T28" s="34">
        <f>ROUND(AnnualFactorsLow!K29,1)</f>
        <v>83.8</v>
      </c>
      <c r="U28" s="34">
        <f t="shared" si="7"/>
        <v>3565.8</v>
      </c>
      <c r="V28" s="34"/>
      <c r="W28" s="34">
        <f>ROUND(AnnualFactorsLow!B29*U28,1)</f>
        <v>213.9</v>
      </c>
      <c r="X28" s="34">
        <f t="shared" si="8"/>
        <v>3351.9</v>
      </c>
      <c r="Y28" s="60">
        <f>ROUND(AnnualFactorsLow!F29*X28,1)</f>
        <v>217.3</v>
      </c>
      <c r="Z28" s="34">
        <f t="shared" si="9"/>
        <v>3134.6</v>
      </c>
      <c r="AB28" s="95">
        <f>AnnualFactorsLow!C29</f>
        <v>0.8283399526924263</v>
      </c>
      <c r="AC28" s="34">
        <f t="shared" si="10"/>
        <v>3784.2</v>
      </c>
      <c r="AD28" s="8">
        <f>AnnualFactorsLow!D29</f>
        <v>0.3342832979960194</v>
      </c>
      <c r="AE28" s="34">
        <f t="shared" si="11"/>
        <v>1265</v>
      </c>
      <c r="AF28" s="8">
        <f>AnnualFactorsLow!E29</f>
        <v>0.21156685318369278</v>
      </c>
      <c r="AG28">
        <f t="shared" si="12"/>
        <v>800.6</v>
      </c>
      <c r="AH28" s="34">
        <f t="shared" si="13"/>
        <v>5849.8</v>
      </c>
      <c r="AI28">
        <f>ROUND(AnnualFactorsLow!H29*AH28,1)</f>
        <v>126.7</v>
      </c>
      <c r="AJ28" s="34">
        <f t="shared" si="14"/>
        <v>5723.1</v>
      </c>
      <c r="AK28" s="9">
        <f>AnnualFactorsLow!I29</f>
        <v>2.55</v>
      </c>
      <c r="AL28" s="34">
        <f t="shared" si="15"/>
        <v>2244.4</v>
      </c>
      <c r="AN28" s="96">
        <f t="shared" si="16"/>
        <v>5670.8</v>
      </c>
      <c r="AO28" s="96">
        <f t="shared" si="17"/>
        <v>123.1</v>
      </c>
      <c r="AP28" s="96">
        <f t="shared" si="18"/>
        <v>5547.7</v>
      </c>
      <c r="AQ28" s="34">
        <f t="shared" si="19"/>
        <v>2175.5686274509803</v>
      </c>
      <c r="AS28" s="60">
        <f t="shared" si="0"/>
        <v>1226.2918390372322</v>
      </c>
      <c r="AT28" s="60">
        <f t="shared" si="1"/>
        <v>3668.405989948374</v>
      </c>
      <c r="AU28" s="60">
        <f t="shared" si="2"/>
        <v>776.1021710143937</v>
      </c>
      <c r="AV28" s="115">
        <f t="shared" si="3"/>
        <v>0.064828903010233</v>
      </c>
    </row>
    <row r="29" spans="1:48" ht="12.75">
      <c r="A29">
        <v>2027</v>
      </c>
      <c r="B29" s="34">
        <f>SectorParameters!E$18+(SectorParameters!E$19*LN(A29))+SectorParameters!E$20*LN(NationalDataLow!X71)</f>
        <v>32.58703671098817</v>
      </c>
      <c r="C29" s="34">
        <f>SectorParameters!E$11+(SectorParameters!E$12*NationalDataLow!Z71+SectorParameters!E$13*B29)</f>
        <v>113.78262452123491</v>
      </c>
      <c r="D29" s="34">
        <f>EXP(SectorParameters!B$11+SectorParameters!B$12*LN(NationalDataLow!Y71))</f>
        <v>174.60517414510312</v>
      </c>
      <c r="E29" s="34">
        <f>SectorParameters!H$3+(SectorParameters!H$4*NationalDataLow!AC71+SectorParameters!H$5*D28)</f>
        <v>156.65672920860388</v>
      </c>
      <c r="F29" s="34">
        <f>SectorParameters!H$11+SectorParameters!H$12*NationalDataLow!AG71</f>
        <v>67.4077727945063</v>
      </c>
      <c r="G29" s="34">
        <f>SectorParameters!B$3+SectorParameters!B$4*NationalDataLow!AA71</f>
        <v>451.67655640556666</v>
      </c>
      <c r="H29" s="34">
        <f>EXP(SectorParameters!E$3+SectorParameters!E$4*LN(G28)+SectorParameters!E$5*LN(NationalDataLow!AB71))</f>
        <v>102.60930282292334</v>
      </c>
      <c r="I29" s="34">
        <f>SectorParameters!H$18+(SectorParameters!H$19*NationalDataLow!AF71+SectorParameters!H$20*AN28)</f>
        <v>252.45462580024332</v>
      </c>
      <c r="J29" s="34">
        <f>SectorParameters!B$26+SectorParameters!B$27*NationalDataLow!AE71</f>
        <v>687.0672029760349</v>
      </c>
      <c r="K29" s="34">
        <f>SectorParameters!E$26+SectorParameters!E$27*NationalDataLow!AH71</f>
        <v>654.5818769442288</v>
      </c>
      <c r="L29" s="34">
        <f>SectorParameters!B$18+SectorParameters!B$19*NationalDataLow!AI71</f>
        <v>275.1575710149649</v>
      </c>
      <c r="N29" s="34">
        <f t="shared" si="4"/>
        <v>2968.6</v>
      </c>
      <c r="O29" s="34"/>
      <c r="P29">
        <f>AnnualFactorsLow!J30</f>
        <v>330.41100000000006</v>
      </c>
      <c r="Q29" s="34">
        <f t="shared" si="5"/>
        <v>3299</v>
      </c>
      <c r="R29" s="34">
        <f>ROUND((AnnualFactorsLow!G30*Q29),1)</f>
        <v>178.5</v>
      </c>
      <c r="S29" s="34">
        <f t="shared" si="6"/>
        <v>3477.5</v>
      </c>
      <c r="T29" s="34">
        <f>ROUND(AnnualFactorsLow!K30,1)</f>
        <v>83.8</v>
      </c>
      <c r="U29" s="34">
        <f t="shared" si="7"/>
        <v>3561.3</v>
      </c>
      <c r="V29" s="34"/>
      <c r="W29" s="34">
        <f>ROUND(AnnualFactorsLow!B30*U29,1)</f>
        <v>213.7</v>
      </c>
      <c r="X29" s="34">
        <f t="shared" si="8"/>
        <v>3347.6000000000004</v>
      </c>
      <c r="Y29" s="60">
        <f>ROUND(AnnualFactorsLow!F30*X29,1)</f>
        <v>217.5</v>
      </c>
      <c r="Z29" s="34">
        <f t="shared" si="9"/>
        <v>3130.1000000000004</v>
      </c>
      <c r="AB29" s="95">
        <f>AnnualFactorsLow!C30</f>
        <v>0.8284799290346426</v>
      </c>
      <c r="AC29" s="34">
        <f t="shared" si="10"/>
        <v>3778.1</v>
      </c>
      <c r="AD29" s="8">
        <f>AnnualFactorsLow!D30</f>
        <v>0.33538308162936675</v>
      </c>
      <c r="AE29" s="34">
        <f t="shared" si="11"/>
        <v>1267.1</v>
      </c>
      <c r="AF29" s="8">
        <f>AnnualFactorsLow!E30</f>
        <v>0.2156113139944474</v>
      </c>
      <c r="AG29">
        <f t="shared" si="12"/>
        <v>814.6</v>
      </c>
      <c r="AH29" s="34">
        <f t="shared" si="13"/>
        <v>5859.8</v>
      </c>
      <c r="AI29">
        <f>ROUND(AnnualFactorsLow!H30*AH29,1)</f>
        <v>127.3</v>
      </c>
      <c r="AJ29" s="34">
        <f t="shared" si="14"/>
        <v>5732.5</v>
      </c>
      <c r="AK29" s="9">
        <f>AnnualFactorsLow!I30</f>
        <v>2.55</v>
      </c>
      <c r="AL29" s="34">
        <f t="shared" si="15"/>
        <v>2248</v>
      </c>
      <c r="AN29" s="96">
        <f t="shared" si="16"/>
        <v>5680.4</v>
      </c>
      <c r="AO29" s="96">
        <f t="shared" si="17"/>
        <v>123.7</v>
      </c>
      <c r="AP29" s="96">
        <f t="shared" si="18"/>
        <v>5556.7</v>
      </c>
      <c r="AQ29" s="34">
        <f t="shared" si="19"/>
        <v>2179.098039215686</v>
      </c>
      <c r="AS29" s="60">
        <f t="shared" si="0"/>
        <v>1228.3072528072628</v>
      </c>
      <c r="AT29" s="60">
        <f t="shared" si="1"/>
        <v>3662.4320352230447</v>
      </c>
      <c r="AU29" s="60">
        <f t="shared" si="2"/>
        <v>789.6607119696918</v>
      </c>
      <c r="AV29" s="115">
        <f t="shared" si="3"/>
        <v>0.06497192018162265</v>
      </c>
    </row>
    <row r="30" spans="1:48" ht="12.75">
      <c r="A30">
        <v>2028</v>
      </c>
      <c r="B30" s="34">
        <f>SectorParameters!E$18+(SectorParameters!E$19*LN(A30))+SectorParameters!E$20*LN(NationalDataLow!X72)</f>
        <v>30.37255230938797</v>
      </c>
      <c r="C30" s="34">
        <f>SectorParameters!E$11+(SectorParameters!E$12*NationalDataLow!Z72+SectorParameters!E$13*B30)</f>
        <v>111.53917302466115</v>
      </c>
      <c r="D30" s="34">
        <f>EXP(SectorParameters!B$11+SectorParameters!B$12*LN(NationalDataLow!Y72))</f>
        <v>173.19114185053007</v>
      </c>
      <c r="E30" s="34">
        <f>SectorParameters!H$3+(SectorParameters!H$4*NationalDataLow!AC72+SectorParameters!H$5*D29)</f>
        <v>155.53649253977287</v>
      </c>
      <c r="F30" s="34">
        <f>SectorParameters!H$11+SectorParameters!H$12*NationalDataLow!AG72</f>
        <v>67.00954196976251</v>
      </c>
      <c r="G30" s="34">
        <f>SectorParameters!B$3+SectorParameters!B$4*NationalDataLow!AA72</f>
        <v>450.05360686216426</v>
      </c>
      <c r="H30" s="34">
        <f>EXP(SectorParameters!E$3+SectorParameters!E$4*LN(G29)+SectorParameters!E$5*LN(NationalDataLow!AB72))</f>
        <v>102.07717195396751</v>
      </c>
      <c r="I30" s="34">
        <f>SectorParameters!H$18+(SectorParameters!H$19*NationalDataLow!AF72+SectorParameters!H$20*AN29)</f>
        <v>253.59606342978873</v>
      </c>
      <c r="J30" s="34">
        <f>SectorParameters!B$26+SectorParameters!B$27*NationalDataLow!AE72</f>
        <v>698.3865777038192</v>
      </c>
      <c r="K30" s="34">
        <f>SectorParameters!E$26+SectorParameters!E$27*NationalDataLow!AH72</f>
        <v>648.113587844788</v>
      </c>
      <c r="L30" s="34">
        <f>SectorParameters!B$18+SectorParameters!B$19*NationalDataLow!AI72</f>
        <v>273.969258765377</v>
      </c>
      <c r="N30" s="34">
        <f t="shared" si="4"/>
        <v>2963.8</v>
      </c>
      <c r="O30" s="34"/>
      <c r="P30">
        <f>AnnualFactorsLow!J31</f>
        <v>330.41100000000006</v>
      </c>
      <c r="Q30" s="34">
        <f t="shared" si="5"/>
        <v>3294.2</v>
      </c>
      <c r="R30" s="34">
        <f>ROUND((AnnualFactorsLow!G31*Q30),1)</f>
        <v>178.2</v>
      </c>
      <c r="S30" s="34">
        <f t="shared" si="6"/>
        <v>3472.3999999999996</v>
      </c>
      <c r="T30" s="34">
        <f>ROUND(AnnualFactorsLow!K31,1)</f>
        <v>83.8</v>
      </c>
      <c r="U30" s="34">
        <f t="shared" si="7"/>
        <v>3556.2</v>
      </c>
      <c r="V30" s="34"/>
      <c r="W30" s="34">
        <f>ROUND(AnnualFactorsLow!B31*U30,1)</f>
        <v>213.4</v>
      </c>
      <c r="X30" s="34">
        <f t="shared" si="8"/>
        <v>3342.7999999999997</v>
      </c>
      <c r="Y30" s="60">
        <f>ROUND(AnnualFactorsLow!F31*X30,1)</f>
        <v>217.7</v>
      </c>
      <c r="Z30" s="34">
        <f t="shared" si="9"/>
        <v>3125.1</v>
      </c>
      <c r="AB30" s="95">
        <f>AnnualFactorsLow!C31</f>
        <v>0.8286199290306454</v>
      </c>
      <c r="AC30" s="34">
        <f t="shared" si="10"/>
        <v>3771.5</v>
      </c>
      <c r="AD30" s="8">
        <f>AnnualFactorsLow!D31</f>
        <v>0.33648648352317584</v>
      </c>
      <c r="AE30" s="34">
        <f t="shared" si="11"/>
        <v>1269.1</v>
      </c>
      <c r="AF30" s="8">
        <f>AnnualFactorsLow!E31</f>
        <v>0.2197330915634918</v>
      </c>
      <c r="AG30">
        <f t="shared" si="12"/>
        <v>828.7</v>
      </c>
      <c r="AH30" s="34">
        <f t="shared" si="13"/>
        <v>5869.3</v>
      </c>
      <c r="AI30">
        <f>ROUND(AnnualFactorsLow!H31*AH30,1)</f>
        <v>127.8</v>
      </c>
      <c r="AJ30" s="34">
        <f t="shared" si="14"/>
        <v>5741.5</v>
      </c>
      <c r="AK30" s="9">
        <f>AnnualFactorsLow!I31</f>
        <v>2.55</v>
      </c>
      <c r="AL30" s="34">
        <f t="shared" si="15"/>
        <v>2251.6</v>
      </c>
      <c r="AN30" s="96">
        <f t="shared" si="16"/>
        <v>5689.7</v>
      </c>
      <c r="AO30" s="96">
        <f t="shared" si="17"/>
        <v>124.1</v>
      </c>
      <c r="AP30" s="96">
        <f t="shared" si="18"/>
        <v>5565.599999999999</v>
      </c>
      <c r="AQ30" s="34">
        <f t="shared" si="19"/>
        <v>2182.5882352941176</v>
      </c>
      <c r="AS30" s="60">
        <f t="shared" si="0"/>
        <v>1230.265665411548</v>
      </c>
      <c r="AT30" s="60">
        <f t="shared" si="1"/>
        <v>3656.0924726969147</v>
      </c>
      <c r="AU30" s="60">
        <f t="shared" si="2"/>
        <v>803.3418618915373</v>
      </c>
      <c r="AV30" s="115">
        <f t="shared" si="3"/>
        <v>0.06512504487256193</v>
      </c>
    </row>
    <row r="31" spans="1:48" ht="12.75">
      <c r="A31">
        <v>2029</v>
      </c>
      <c r="B31" s="34">
        <f>SectorParameters!E$18+(SectorParameters!E$19*LN(A31))+SectorParameters!E$20*LN(NationalDataLow!X73)</f>
        <v>28.127008994054563</v>
      </c>
      <c r="C31" s="34">
        <f>SectorParameters!E$11+(SectorParameters!E$12*NationalDataLow!Z73+SectorParameters!E$13*B31)</f>
        <v>109.26386756526315</v>
      </c>
      <c r="D31" s="34">
        <f>EXP(SectorParameters!B$11+SectorParameters!B$12*LN(NationalDataLow!Y73))</f>
        <v>171.76179758967683</v>
      </c>
      <c r="E31" s="34">
        <f>SectorParameters!H$3+(SectorParameters!H$4*NationalDataLow!AC73+SectorParameters!H$5*D30)</f>
        <v>154.40317254004887</v>
      </c>
      <c r="F31" s="34">
        <f>SectorParameters!H$11+SectorParameters!H$12*NationalDataLow!AG73</f>
        <v>66.61131114501872</v>
      </c>
      <c r="G31" s="34">
        <f>SectorParameters!B$3+SectorParameters!B$4*NationalDataLow!AA73</f>
        <v>448.3856679577024</v>
      </c>
      <c r="H31" s="34">
        <f>EXP(SectorParameters!E$3+SectorParameters!E$4*LN(G30)+SectorParameters!E$5*LN(NationalDataLow!AB73))</f>
        <v>101.53410954540982</v>
      </c>
      <c r="I31" s="34">
        <f>SectorParameters!H$18+(SectorParameters!H$19*NationalDataLow!AF73+SectorParameters!H$20*AN30)</f>
        <v>254.7139662698014</v>
      </c>
      <c r="J31" s="34">
        <f>SectorParameters!B$26+SectorParameters!B$27*NationalDataLow!AE73</f>
        <v>709.7152764635044</v>
      </c>
      <c r="K31" s="34">
        <f>SectorParameters!E$26+SectorParameters!E$27*NationalDataLow!AH73</f>
        <v>641.470381631672</v>
      </c>
      <c r="L31" s="34">
        <f>SectorParameters!B$18+SectorParameters!B$19*NationalDataLow!AI73</f>
        <v>272.75636074510794</v>
      </c>
      <c r="N31" s="34">
        <f t="shared" si="4"/>
        <v>2958.7</v>
      </c>
      <c r="O31" s="34"/>
      <c r="P31">
        <f>AnnualFactorsLow!J32</f>
        <v>330.41100000000006</v>
      </c>
      <c r="Q31" s="34">
        <f t="shared" si="5"/>
        <v>3289.1</v>
      </c>
      <c r="R31" s="34">
        <f>ROUND((AnnualFactorsLow!G32*Q31),1)</f>
        <v>177.9</v>
      </c>
      <c r="S31" s="34">
        <f t="shared" si="6"/>
        <v>3467</v>
      </c>
      <c r="T31" s="34">
        <f>ROUND(AnnualFactorsLow!K32,1)</f>
        <v>83.8</v>
      </c>
      <c r="U31" s="34">
        <f t="shared" si="7"/>
        <v>3550.8</v>
      </c>
      <c r="V31" s="34"/>
      <c r="W31" s="34">
        <f>ROUND(AnnualFactorsLow!B32*U31,1)</f>
        <v>213</v>
      </c>
      <c r="X31" s="34">
        <f t="shared" si="8"/>
        <v>3337.8</v>
      </c>
      <c r="Y31" s="60">
        <f>ROUND(AnnualFactorsLow!F32*X31,1)</f>
        <v>217.8</v>
      </c>
      <c r="Z31" s="34">
        <f t="shared" si="9"/>
        <v>3120</v>
      </c>
      <c r="AB31" s="95">
        <f>AnnualFactorsLow!C32</f>
        <v>0.8287599526844318</v>
      </c>
      <c r="AC31" s="34">
        <f t="shared" si="10"/>
        <v>3764.7</v>
      </c>
      <c r="AD31" s="8">
        <f>AnnualFactorsLow!D32</f>
        <v>0.3375935155814326</v>
      </c>
      <c r="AE31" s="34">
        <f t="shared" si="11"/>
        <v>1270.9</v>
      </c>
      <c r="AF31" s="8">
        <f>AnnualFactorsLow!E32</f>
        <v>0.22393366393237268</v>
      </c>
      <c r="AG31">
        <f t="shared" si="12"/>
        <v>843</v>
      </c>
      <c r="AH31" s="34">
        <f t="shared" si="13"/>
        <v>5878.6</v>
      </c>
      <c r="AI31">
        <f>ROUND(AnnualFactorsLow!H32*AH31,1)</f>
        <v>128.4</v>
      </c>
      <c r="AJ31" s="34">
        <f t="shared" si="14"/>
        <v>5750.200000000001</v>
      </c>
      <c r="AK31" s="9">
        <f>AnnualFactorsLow!I32</f>
        <v>2.55</v>
      </c>
      <c r="AL31" s="34">
        <f t="shared" si="15"/>
        <v>2255</v>
      </c>
      <c r="AN31" s="96">
        <f t="shared" si="16"/>
        <v>5698.7</v>
      </c>
      <c r="AO31" s="96">
        <f t="shared" si="17"/>
        <v>124.7</v>
      </c>
      <c r="AP31" s="96">
        <f t="shared" si="18"/>
        <v>5574</v>
      </c>
      <c r="AQ31" s="34">
        <f t="shared" si="19"/>
        <v>2185.8823529411766</v>
      </c>
      <c r="AS31" s="60">
        <f t="shared" si="0"/>
        <v>1232.0072517266015</v>
      </c>
      <c r="AT31" s="60">
        <f t="shared" si="1"/>
        <v>3649.4906763515114</v>
      </c>
      <c r="AU31" s="60">
        <f t="shared" si="2"/>
        <v>817.2020719218862</v>
      </c>
      <c r="AV31" s="115">
        <f t="shared" si="3"/>
        <v>0.06525256156749955</v>
      </c>
    </row>
    <row r="32" spans="1:48" s="98" customFormat="1" ht="12.75">
      <c r="A32" s="98">
        <v>2030</v>
      </c>
      <c r="B32" s="34">
        <f>SectorParameters!E$18+(SectorParameters!E$19*LN(A32))+SectorParameters!E$20*LN(NationalDataLow!X74)</f>
        <v>25.861341481523255</v>
      </c>
      <c r="C32" s="34">
        <f>SectorParameters!E$11+(SectorParameters!E$12*NationalDataLow!Z74+SectorParameters!E$13*B32)</f>
        <v>106.96195665600365</v>
      </c>
      <c r="D32" s="34">
        <f>EXP(SectorParameters!B$11+SectorParameters!B$12*LN(NationalDataLow!Y74))</f>
        <v>170.3201157876534</v>
      </c>
      <c r="E32" s="34">
        <f>SectorParameters!H$3+(SectorParameters!H$4*NationalDataLow!AC74+SectorParameters!H$5*D31)</f>
        <v>153.2570596600412</v>
      </c>
      <c r="F32" s="34">
        <f>SectorParameters!H$11+SectorParameters!H$12*NationalDataLow!AG74</f>
        <v>67.1381373402527</v>
      </c>
      <c r="G32" s="34">
        <f>SectorParameters!B$3+SectorParameters!B$4*NationalDataLow!AA74</f>
        <v>446.67107341954943</v>
      </c>
      <c r="H32" s="34">
        <f>EXP(SectorParameters!E$3+SectorParameters!E$4*LN(G31)+SectorParameters!E$5*LN(NationalDataLow!AB74))</f>
        <v>100.97821793649435</v>
      </c>
      <c r="I32" s="34">
        <f>SectorParameters!H$18+(SectorParameters!H$19*NationalDataLow!AF74+SectorParameters!H$20*AN31)</f>
        <v>257.9079951283346</v>
      </c>
      <c r="J32" s="34">
        <f>SectorParameters!B$26+SectorParameters!B$27*NationalDataLow!AE74</f>
        <v>721.040867212556</v>
      </c>
      <c r="K32" s="34">
        <f>SectorParameters!E$26+SectorParameters!E$27*NationalDataLow!AH74</f>
        <v>622.856285451422</v>
      </c>
      <c r="L32" s="34">
        <f>SectorParameters!B$18+SectorParameters!B$19*NationalDataLow!AI74</f>
        <v>271.51614520185984</v>
      </c>
      <c r="N32" s="100">
        <f t="shared" si="4"/>
        <v>2944.5</v>
      </c>
      <c r="O32" s="100"/>
      <c r="P32" s="98">
        <f>AnnualFactorsLow!J33</f>
        <v>330.41100000000006</v>
      </c>
      <c r="Q32" s="100">
        <f t="shared" si="5"/>
        <v>3274.9</v>
      </c>
      <c r="R32" s="100">
        <f>ROUND((AnnualFactorsLow!G33*Q32),1)</f>
        <v>177.2</v>
      </c>
      <c r="S32" s="100">
        <f t="shared" si="6"/>
        <v>3452.1</v>
      </c>
      <c r="T32" s="100">
        <f>ROUND(AnnualFactorsLow!K33,1)</f>
        <v>83.8</v>
      </c>
      <c r="U32" s="100">
        <f t="shared" si="7"/>
        <v>3535.9</v>
      </c>
      <c r="V32" s="100"/>
      <c r="W32" s="100">
        <f>ROUND(AnnualFactorsLow!B33*U32,1)</f>
        <v>212.2</v>
      </c>
      <c r="X32" s="100">
        <f t="shared" si="8"/>
        <v>3323.7000000000003</v>
      </c>
      <c r="Y32" s="100">
        <f>ROUND(AnnualFactorsLow!F33*X32,1)</f>
        <v>217.4</v>
      </c>
      <c r="Z32" s="100">
        <f t="shared" si="9"/>
        <v>3106.3</v>
      </c>
      <c r="AB32" s="101">
        <f>AnnualFactorsLow!C33</f>
        <v>0.8289</v>
      </c>
      <c r="AC32" s="100">
        <f t="shared" si="10"/>
        <v>3747.5</v>
      </c>
      <c r="AD32" s="102">
        <f>AnnualFactorsLow!D33</f>
        <v>0.33870418974728655</v>
      </c>
      <c r="AE32" s="100">
        <f t="shared" si="11"/>
        <v>1269.3</v>
      </c>
      <c r="AF32" s="102">
        <f>AnnualFactorsLow!E33</f>
        <v>0.22821453739791886</v>
      </c>
      <c r="AG32" s="98">
        <f t="shared" si="12"/>
        <v>855.2</v>
      </c>
      <c r="AH32" s="100">
        <f t="shared" si="13"/>
        <v>5872</v>
      </c>
      <c r="AI32" s="98">
        <f>ROUND(AnnualFactorsLow!H33*AH32,1)</f>
        <v>128.6</v>
      </c>
      <c r="AJ32" s="100">
        <f t="shared" si="14"/>
        <v>5743.4</v>
      </c>
      <c r="AK32" s="103">
        <f>AnnualFactorsLow!I33</f>
        <v>2.55</v>
      </c>
      <c r="AL32" s="100">
        <f t="shared" si="15"/>
        <v>2252.3</v>
      </c>
      <c r="AN32" s="104">
        <f t="shared" si="16"/>
        <v>5692.3</v>
      </c>
      <c r="AO32" s="104">
        <f t="shared" si="17"/>
        <v>124.9</v>
      </c>
      <c r="AP32" s="104">
        <f t="shared" si="18"/>
        <v>5567.400000000001</v>
      </c>
      <c r="AQ32" s="100">
        <f t="shared" si="19"/>
        <v>2183.294117647059</v>
      </c>
      <c r="AS32" s="100">
        <f t="shared" si="0"/>
        <v>1230.4557884877383</v>
      </c>
      <c r="AT32" s="100">
        <f t="shared" si="1"/>
        <v>3632.8157782697554</v>
      </c>
      <c r="AU32" s="100">
        <f t="shared" si="2"/>
        <v>829.0284332425069</v>
      </c>
      <c r="AV32" s="115">
        <f t="shared" si="3"/>
        <v>0.06540903210277703</v>
      </c>
    </row>
    <row r="36" spans="34:38" ht="12.75">
      <c r="AH36" s="8">
        <f>(AH7-AH2)/AH2</f>
        <v>0.005076358672468259</v>
      </c>
      <c r="AL36" s="8">
        <f>(AL7-AL2)/AL2</f>
        <v>0.00034056079010111047</v>
      </c>
    </row>
    <row r="37" spans="34:38" ht="12.75">
      <c r="AH37" s="8">
        <f>(AH12-AH7)/AH7</f>
        <v>0.07792538517040888</v>
      </c>
      <c r="AL37" s="8">
        <f>(AL12-AL7)/AL7</f>
        <v>0.08601906491148428</v>
      </c>
    </row>
    <row r="38" spans="34:38" ht="12.75">
      <c r="AH38" s="8">
        <f>(AH17-AH12)/AH12</f>
        <v>0.04640311847856024</v>
      </c>
      <c r="AL38" s="8">
        <f>(AL17-AL12)/AL12</f>
        <v>0.05010449320794153</v>
      </c>
    </row>
    <row r="39" spans="34:38" ht="12.75">
      <c r="AH39" s="8">
        <f>(AH22-AH17)/AH17</f>
        <v>0.05405354555887963</v>
      </c>
      <c r="AL39" s="8">
        <f>(AL22-AL17)/AL17</f>
        <v>0.0576148067068012</v>
      </c>
    </row>
    <row r="40" spans="34:38" ht="12.75">
      <c r="AH40" s="8">
        <f>(AH27-AH22)/AH22</f>
        <v>0.04167856632871626</v>
      </c>
      <c r="AL40" s="8">
        <f>(AL27-AL22)/AL22</f>
        <v>0.053347132709225246</v>
      </c>
    </row>
    <row r="41" spans="34:38" ht="12.75">
      <c r="AH41" s="8">
        <f>(AH32-AH27)/AH27</f>
        <v>0.006185849654723256</v>
      </c>
      <c r="AL41" s="8">
        <f>(AL32-AL27)/AL27</f>
        <v>0.005895225760350262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H76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</cols>
  <sheetData>
    <row r="1" spans="2:8" ht="12.75">
      <c r="B1" s="129" t="s">
        <v>199</v>
      </c>
      <c r="C1" s="129"/>
      <c r="D1" s="129"/>
      <c r="E1" s="129"/>
      <c r="F1" s="129"/>
      <c r="G1" s="129"/>
      <c r="H1" s="129"/>
    </row>
    <row r="2" spans="2:8" ht="12.75">
      <c r="B2" s="129" t="s">
        <v>223</v>
      </c>
      <c r="C2" s="129"/>
      <c r="D2" s="129"/>
      <c r="E2" s="129"/>
      <c r="F2" s="129"/>
      <c r="G2" s="129"/>
      <c r="H2" s="129"/>
    </row>
    <row r="4" spans="1:8" ht="12.75">
      <c r="A4" s="110" t="s">
        <v>193</v>
      </c>
      <c r="B4" s="110">
        <v>2000</v>
      </c>
      <c r="C4" s="110">
        <v>2005</v>
      </c>
      <c r="D4" s="110">
        <v>2010</v>
      </c>
      <c r="E4" s="110">
        <v>2015</v>
      </c>
      <c r="F4" s="110">
        <v>2020</v>
      </c>
      <c r="G4" s="110">
        <v>2025</v>
      </c>
      <c r="H4" s="110">
        <v>2030</v>
      </c>
    </row>
    <row r="5" spans="1:8" ht="12.75">
      <c r="A5" s="2" t="s">
        <v>194</v>
      </c>
      <c r="B5" s="34">
        <f>CalculationsLow!B$2</f>
        <v>85.3</v>
      </c>
      <c r="C5" s="34">
        <f>CalculationsLow!B$7</f>
        <v>63.78900109205915</v>
      </c>
      <c r="D5" s="34">
        <f>CalculationsLow!B$12</f>
        <v>58.49311539490952</v>
      </c>
      <c r="E5" s="34">
        <f>CalculationsLow!B$17</f>
        <v>52.50833827474662</v>
      </c>
      <c r="F5" s="34">
        <f>CalculationsLow!B$22</f>
        <v>45.144967438289086</v>
      </c>
      <c r="G5" s="34">
        <f>CalculationsLow!B$27</f>
        <v>36.99321086632972</v>
      </c>
      <c r="H5" s="34">
        <f>CalculationsLow!B$32</f>
        <v>25.861341481523255</v>
      </c>
    </row>
    <row r="6" spans="1:8" ht="12.75">
      <c r="A6" s="2" t="s">
        <v>131</v>
      </c>
      <c r="B6" s="34">
        <f>CalculationsLow!D$2</f>
        <v>144.4</v>
      </c>
      <c r="C6" s="34">
        <f>CalculationsLow!D$7</f>
        <v>160.16074986295118</v>
      </c>
      <c r="D6" s="34">
        <f>CalculationsLow!D$12</f>
        <v>174.52688572757913</v>
      </c>
      <c r="E6" s="34">
        <f>CalculationsLow!D$17</f>
        <v>178.34408071613237</v>
      </c>
      <c r="F6" s="34">
        <f>CalculationsLow!D$22</f>
        <v>178.99625553581294</v>
      </c>
      <c r="G6" s="34">
        <f>CalculationsLow!D$27</f>
        <v>177.40731706935483</v>
      </c>
      <c r="H6" s="34">
        <f>CalculationsLow!D$32</f>
        <v>170.3201157876534</v>
      </c>
    </row>
    <row r="7" spans="1:8" ht="12.75">
      <c r="A7" s="2" t="s">
        <v>133</v>
      </c>
      <c r="B7" s="34">
        <f>CalculationsLow!C$2</f>
        <v>129.6</v>
      </c>
      <c r="C7" s="34">
        <f>CalculationsLow!C$7</f>
        <v>114.48033142412757</v>
      </c>
      <c r="D7" s="34">
        <f>CalculationsLow!C$12</f>
        <v>125.47695624329643</v>
      </c>
      <c r="E7" s="34">
        <f>CalculationsLow!C$17</f>
        <v>127.61337637099535</v>
      </c>
      <c r="F7" s="34">
        <f>CalculationsLow!C$22</f>
        <v>123.89928372018983</v>
      </c>
      <c r="G7" s="34">
        <f>CalculationsLow!C$27</f>
        <v>118.22744294393385</v>
      </c>
      <c r="H7" s="34">
        <f>CalculationsLow!C$32</f>
        <v>106.96195665600365</v>
      </c>
    </row>
    <row r="8" spans="1:8" ht="12.75">
      <c r="A8" s="2" t="s">
        <v>195</v>
      </c>
      <c r="B8" s="34">
        <f>CalculationsLow!H$2</f>
        <v>80.2</v>
      </c>
      <c r="C8" s="34">
        <f>CalculationsLow!H$7</f>
        <v>89.45294129994073</v>
      </c>
      <c r="D8" s="34">
        <f>CalculationsLow!H$12</f>
        <v>97.50240235499416</v>
      </c>
      <c r="E8" s="34">
        <f>CalculationsLow!H$17</f>
        <v>101.4684530827978</v>
      </c>
      <c r="F8" s="34">
        <f>CalculationsLow!H$22</f>
        <v>102.98379069884342</v>
      </c>
      <c r="G8" s="34">
        <f>CalculationsLow!H$27</f>
        <v>103.36962516736945</v>
      </c>
      <c r="H8" s="34">
        <f>CalculationsLow!H$32</f>
        <v>100.97821793649435</v>
      </c>
    </row>
    <row r="9" spans="1:8" ht="12.75">
      <c r="A9" s="2" t="s">
        <v>196</v>
      </c>
      <c r="B9" s="34">
        <f>CalculationsLow!G$2</f>
        <v>377.3</v>
      </c>
      <c r="C9" s="34">
        <f>CalculationsLow!G$7</f>
        <v>409.6914849013466</v>
      </c>
      <c r="D9" s="34">
        <f>CalculationsLow!G$12</f>
        <v>436.1702232937568</v>
      </c>
      <c r="E9" s="34">
        <f>CalculationsLow!G$17</f>
        <v>447.1359634838299</v>
      </c>
      <c r="F9" s="34">
        <f>CalculationsLow!G$22</f>
        <v>452.6063365341278</v>
      </c>
      <c r="G9" s="34">
        <f>CalculationsLow!G$27</f>
        <v>454.79915131761607</v>
      </c>
      <c r="H9" s="34">
        <f>CalculationsLow!G$32</f>
        <v>446.67107341954943</v>
      </c>
    </row>
    <row r="10" spans="1:8" ht="12.75">
      <c r="A10" s="2" t="s">
        <v>197</v>
      </c>
      <c r="B10" s="34">
        <f>CalculationsLow!E$2</f>
        <v>143.1</v>
      </c>
      <c r="C10" s="34">
        <f>CalculationsLow!E$7</f>
        <v>151.9765765986453</v>
      </c>
      <c r="D10" s="34">
        <f>CalculationsLow!E$12</f>
        <v>157.52826809461288</v>
      </c>
      <c r="E10" s="34">
        <f>CalculationsLow!E$17</f>
        <v>160.0872196082885</v>
      </c>
      <c r="F10" s="34">
        <f>CalculationsLow!E$22</f>
        <v>160.1479889682663</v>
      </c>
      <c r="G10" s="34">
        <f>CalculationsLow!E$27</f>
        <v>158.70357275996483</v>
      </c>
      <c r="H10" s="34">
        <f>CalculationsLow!E$32</f>
        <v>153.2570596600412</v>
      </c>
    </row>
    <row r="11" spans="1:8" ht="12.75">
      <c r="A11" s="2" t="s">
        <v>214</v>
      </c>
      <c r="B11" s="34">
        <f>SUM(B12:B15)</f>
        <v>1084.382473702185</v>
      </c>
      <c r="C11" s="34">
        <f aca="true" t="shared" si="0" ref="C11:H11">SUM(C12:C15)</f>
        <v>1197.0062035116605</v>
      </c>
      <c r="D11" s="34">
        <f t="shared" si="0"/>
        <v>1411.6152416833074</v>
      </c>
      <c r="E11" s="34">
        <f t="shared" si="0"/>
        <v>1497.8941379695354</v>
      </c>
      <c r="F11" s="34">
        <f t="shared" si="0"/>
        <v>1577.2189329795233</v>
      </c>
      <c r="G11" s="34">
        <f t="shared" si="0"/>
        <v>1648.0040485670943</v>
      </c>
      <c r="H11" s="34">
        <f t="shared" si="0"/>
        <v>1668.9432851325655</v>
      </c>
    </row>
    <row r="12" spans="1:8" ht="12.75">
      <c r="A12" s="2" t="s">
        <v>216</v>
      </c>
      <c r="B12" s="34">
        <f>CalculationsLow!J$2</f>
        <v>350.7201089230505</v>
      </c>
      <c r="C12" s="34">
        <f>CalculationsLow!J$7</f>
        <v>364.9405488611333</v>
      </c>
      <c r="D12" s="34">
        <f>CalculationsLow!J$12</f>
        <v>472.75432973211304</v>
      </c>
      <c r="E12" s="34">
        <f>CalculationsLow!J$17</f>
        <v>531.247089857566</v>
      </c>
      <c r="F12" s="34">
        <f>CalculationsLow!J$22</f>
        <v>597.1648873868292</v>
      </c>
      <c r="G12" s="34">
        <f>CalculationsLow!J$27</f>
        <v>664.4750736799713</v>
      </c>
      <c r="H12" s="34">
        <f>CalculationsLow!J$32</f>
        <v>721.040867212556</v>
      </c>
    </row>
    <row r="13" spans="1:8" ht="12.75">
      <c r="A13" s="2" t="s">
        <v>217</v>
      </c>
      <c r="B13" s="34">
        <f>CalculationsLow!I$2</f>
        <v>161.7932352814788</v>
      </c>
      <c r="C13" s="34">
        <f>CalculationsLow!I$7</f>
        <v>178.3425508090079</v>
      </c>
      <c r="D13" s="34">
        <f>CalculationsLow!I$12</f>
        <v>201.50933370166024</v>
      </c>
      <c r="E13" s="34">
        <f>CalculationsLow!I$17</f>
        <v>213.1934017231241</v>
      </c>
      <c r="F13" s="34">
        <f>CalculationsLow!I$22</f>
        <v>231.6183346377312</v>
      </c>
      <c r="G13" s="34">
        <f>CalculationsLow!I$27</f>
        <v>248.3278966657316</v>
      </c>
      <c r="H13" s="34">
        <f>CalculationsLow!I$32</f>
        <v>257.9079951283346</v>
      </c>
    </row>
    <row r="14" spans="1:8" ht="12.75">
      <c r="A14" s="2" t="s">
        <v>218</v>
      </c>
      <c r="B14" s="34">
        <f>CalculationsLow!F$2</f>
        <v>67.80163633361755</v>
      </c>
      <c r="C14" s="34">
        <f>CalculationsLow!F$7</f>
        <v>67.26051035410624</v>
      </c>
      <c r="D14" s="34">
        <f>CalculationsLow!F$12</f>
        <v>69.52337405095766</v>
      </c>
      <c r="E14" s="34">
        <f>CalculationsLow!F$17</f>
        <v>69.57315290405063</v>
      </c>
      <c r="F14" s="34">
        <f>CalculationsLow!F$22</f>
        <v>69.04840082769554</v>
      </c>
      <c r="G14" s="34">
        <f>CalculationsLow!F$27</f>
        <v>68.20008620623612</v>
      </c>
      <c r="H14" s="34">
        <f>CalculationsLow!F$32</f>
        <v>67.1381373402527</v>
      </c>
    </row>
    <row r="15" spans="1:8" ht="12.75">
      <c r="A15" s="2" t="s">
        <v>219</v>
      </c>
      <c r="B15" s="34">
        <f>CalculationsLow!K$2</f>
        <v>504.0674931640383</v>
      </c>
      <c r="C15" s="34">
        <f>CalculationsLow!K$7</f>
        <v>586.4625934874131</v>
      </c>
      <c r="D15" s="34">
        <f>CalculationsLow!K$12</f>
        <v>667.8282041985767</v>
      </c>
      <c r="E15" s="34">
        <f>CalculationsLow!K$17</f>
        <v>683.8804934847947</v>
      </c>
      <c r="F15" s="34">
        <f>CalculationsLow!K$22</f>
        <v>679.3873101272675</v>
      </c>
      <c r="G15" s="34">
        <f>CalculationsLow!K$27</f>
        <v>667.0009920151552</v>
      </c>
      <c r="H15" s="34">
        <f>CalculationsLow!K$32</f>
        <v>622.856285451422</v>
      </c>
    </row>
    <row r="16" spans="1:8" ht="12.75">
      <c r="A16" s="2" t="s">
        <v>215</v>
      </c>
      <c r="B16" s="34">
        <f>SUM(B17:B19)</f>
        <v>666.6759999999999</v>
      </c>
      <c r="C16" s="34">
        <f aca="true" t="shared" si="1" ref="C16:H16">SUM(C17:C19)</f>
        <v>678.727522691252</v>
      </c>
      <c r="D16" s="34">
        <f t="shared" si="1"/>
        <v>684.9740318975937</v>
      </c>
      <c r="E16" s="34">
        <f t="shared" si="1"/>
        <v>690.2160884053728</v>
      </c>
      <c r="F16" s="34">
        <f t="shared" si="1"/>
        <v>692.0527538808624</v>
      </c>
      <c r="G16" s="34">
        <f t="shared" si="1"/>
        <v>691.6741699543953</v>
      </c>
      <c r="H16" s="34">
        <f t="shared" si="1"/>
        <v>685.7271452018599</v>
      </c>
    </row>
    <row r="17" spans="1:8" ht="12.75">
      <c r="A17" s="2" t="s">
        <v>221</v>
      </c>
      <c r="B17" s="34">
        <f>CalculationsLow!P$2</f>
        <v>342.57599999999996</v>
      </c>
      <c r="C17" s="34">
        <f>CalculationsLow!P$7</f>
        <v>333.311</v>
      </c>
      <c r="D17" s="34">
        <f>CalculationsLow!P$12</f>
        <v>332.41400000000004</v>
      </c>
      <c r="E17" s="34">
        <f>CalculationsLow!P$17</f>
        <v>331.74300000000005</v>
      </c>
      <c r="F17" s="34">
        <f>CalculationsLow!P$22</f>
        <v>331.077</v>
      </c>
      <c r="G17" s="34">
        <f>CalculationsLow!P$27</f>
        <v>330.41100000000006</v>
      </c>
      <c r="H17" s="34">
        <f>CalculationsLow!P$32</f>
        <v>330.41100000000006</v>
      </c>
    </row>
    <row r="18" spans="1:8" ht="12.75">
      <c r="A18" s="2" t="s">
        <v>222</v>
      </c>
      <c r="B18" s="34">
        <f>CalculationsLow!T$2</f>
        <v>79.3</v>
      </c>
      <c r="C18" s="34">
        <f>CalculationsLow!T$7</f>
        <v>80.6</v>
      </c>
      <c r="D18" s="34">
        <f>CalculationsLow!T$12</f>
        <v>82</v>
      </c>
      <c r="E18" s="34">
        <f>CalculationsLow!T$17</f>
        <v>83</v>
      </c>
      <c r="F18" s="34">
        <f>CalculationsLow!T$22</f>
        <v>83.6</v>
      </c>
      <c r="G18" s="34">
        <f>CalculationsLow!T$27</f>
        <v>83.8</v>
      </c>
      <c r="H18" s="34">
        <f>CalculationsLow!T$32</f>
        <v>83.8</v>
      </c>
    </row>
    <row r="19" spans="1:8" ht="12.75">
      <c r="A19" s="2" t="s">
        <v>220</v>
      </c>
      <c r="B19" s="34">
        <f>CalculationsLow!L$2</f>
        <v>244.8</v>
      </c>
      <c r="C19" s="34">
        <f>CalculationsLow!L$7</f>
        <v>264.81652269125215</v>
      </c>
      <c r="D19" s="34">
        <f>CalculationsLow!L$12</f>
        <v>270.5600318975937</v>
      </c>
      <c r="E19" s="34">
        <f>CalculationsLow!L$17</f>
        <v>275.4730884053727</v>
      </c>
      <c r="F19" s="34">
        <f>CalculationsLow!L$22</f>
        <v>277.37575388086236</v>
      </c>
      <c r="G19" s="34">
        <f>CalculationsLow!L$27</f>
        <v>277.46316995439525</v>
      </c>
      <c r="H19" s="34">
        <f>CalculationsLow!L$32</f>
        <v>271.51614520185984</v>
      </c>
    </row>
    <row r="20" spans="1:8" ht="12.75">
      <c r="A20" s="2" t="s">
        <v>198</v>
      </c>
      <c r="B20" s="34">
        <f>CalculationsLow!R$2</f>
        <v>142.4</v>
      </c>
      <c r="C20" s="34">
        <f>CalculationsLow!R$7</f>
        <v>150.7</v>
      </c>
      <c r="D20" s="34">
        <f>CalculationsLow!R$12</f>
        <v>165.8</v>
      </c>
      <c r="E20" s="34">
        <f>CalculationsLow!R$17</f>
        <v>171.6</v>
      </c>
      <c r="F20" s="34">
        <f>CalculationsLow!R$22</f>
        <v>175.8</v>
      </c>
      <c r="G20" s="34">
        <f>CalculationsLow!R$27</f>
        <v>178.8</v>
      </c>
      <c r="H20" s="34">
        <f>CalculationsLow!R$32</f>
        <v>177.2</v>
      </c>
    </row>
    <row r="22" spans="1:8" ht="12.75">
      <c r="A22" s="2" t="s">
        <v>209</v>
      </c>
      <c r="B22" s="34">
        <f aca="true" t="shared" si="2" ref="B22:H22">SUM(B5:B20)-B11-B16</f>
        <v>2853.358473702185</v>
      </c>
      <c r="C22" s="34">
        <f t="shared" si="2"/>
        <v>3015.984811381984</v>
      </c>
      <c r="D22" s="34">
        <f t="shared" si="2"/>
        <v>3312.0871246900506</v>
      </c>
      <c r="E22" s="34">
        <f t="shared" si="2"/>
        <v>3426.8676579117</v>
      </c>
      <c r="F22" s="34">
        <f t="shared" si="2"/>
        <v>3508.8503097559146</v>
      </c>
      <c r="G22" s="34">
        <f t="shared" si="2"/>
        <v>3567.978538646059</v>
      </c>
      <c r="H22" s="34">
        <f t="shared" si="2"/>
        <v>3535.9201952756916</v>
      </c>
    </row>
    <row r="23" spans="1:8" ht="12.75">
      <c r="A23" s="2" t="s">
        <v>210</v>
      </c>
      <c r="B23" s="34">
        <f>CalculationsLow!AN2</f>
        <v>4544.9</v>
      </c>
      <c r="C23" s="34">
        <f>CalculationsLow!AN7</f>
        <v>4568</v>
      </c>
      <c r="D23" s="34">
        <f>CalculationsLow!AN12</f>
        <v>4923.9</v>
      </c>
      <c r="E23" s="34">
        <f>CalculationsLow!AN17</f>
        <v>5152.4</v>
      </c>
      <c r="F23" s="34">
        <f>CalculationsLow!AN22</f>
        <v>5430.9</v>
      </c>
      <c r="G23" s="34">
        <f>CalculationsLow!AN27</f>
        <v>5657.3</v>
      </c>
      <c r="H23" s="34">
        <f>CalculationsLow!AN32</f>
        <v>5692.3</v>
      </c>
    </row>
    <row r="24" spans="1:8" ht="12.75">
      <c r="A24" s="2" t="s">
        <v>211</v>
      </c>
      <c r="B24" s="34">
        <f>CalculationsLow!$AQ2</f>
        <v>1707.8015707448765</v>
      </c>
      <c r="C24" s="34">
        <f>CalculationsLow!$AQ7</f>
        <v>1708.3969465648854</v>
      </c>
      <c r="D24" s="34">
        <f>CalculationsLow!$AQ12</f>
        <v>1855.307692307692</v>
      </c>
      <c r="E24" s="34">
        <f>CalculationsLow!$AQ17</f>
        <v>1948.2625482625483</v>
      </c>
      <c r="F24" s="34">
        <f>CalculationsLow!$AQ22</f>
        <v>2060.503875968992</v>
      </c>
      <c r="G24" s="34">
        <f>CalculationsLow!$AQ27</f>
        <v>2170.509803921569</v>
      </c>
      <c r="H24" s="34">
        <f>CalculationsLow!$AQ32</f>
        <v>2183.294117647059</v>
      </c>
    </row>
    <row r="26" spans="2:8" ht="12.75">
      <c r="B26" s="129" t="s">
        <v>207</v>
      </c>
      <c r="C26" s="129"/>
      <c r="D26" s="129"/>
      <c r="E26" s="129"/>
      <c r="F26" s="129"/>
      <c r="G26" s="129"/>
      <c r="H26" s="129"/>
    </row>
    <row r="27" spans="2:8" ht="12.75">
      <c r="B27" s="129" t="s">
        <v>223</v>
      </c>
      <c r="C27" s="129"/>
      <c r="D27" s="129"/>
      <c r="E27" s="129"/>
      <c r="F27" s="129"/>
      <c r="G27" s="129"/>
      <c r="H27" s="129"/>
    </row>
    <row r="28" spans="2:8" ht="12.75">
      <c r="B28" s="29"/>
      <c r="C28" s="29"/>
      <c r="D28" s="29"/>
      <c r="E28" s="29"/>
      <c r="F28" s="29"/>
      <c r="G28" s="29"/>
      <c r="H28" s="29"/>
    </row>
    <row r="29" spans="2:7" ht="12.75">
      <c r="B29" s="30" t="s">
        <v>201</v>
      </c>
      <c r="C29" s="30" t="s">
        <v>202</v>
      </c>
      <c r="D29" s="30" t="s">
        <v>203</v>
      </c>
      <c r="E29" s="30" t="s">
        <v>204</v>
      </c>
      <c r="F29" s="30" t="s">
        <v>205</v>
      </c>
      <c r="G29" s="30" t="s">
        <v>206</v>
      </c>
    </row>
    <row r="30" spans="1:7" ht="12.75">
      <c r="A30" s="110" t="s">
        <v>193</v>
      </c>
      <c r="B30" s="110">
        <v>2005</v>
      </c>
      <c r="C30" s="110">
        <v>2010</v>
      </c>
      <c r="D30" s="110">
        <v>2015</v>
      </c>
      <c r="E30" s="110">
        <v>2020</v>
      </c>
      <c r="F30" s="110">
        <v>2025</v>
      </c>
      <c r="G30" s="110">
        <v>2030</v>
      </c>
    </row>
    <row r="31" spans="1:7" ht="12.75">
      <c r="A31" s="2" t="s">
        <v>194</v>
      </c>
      <c r="B31" s="34">
        <f aca="true" t="shared" si="3" ref="B31:G31">C5-B5</f>
        <v>-21.510998907940845</v>
      </c>
      <c r="C31" s="34">
        <f t="shared" si="3"/>
        <v>-5.295885697149629</v>
      </c>
      <c r="D31" s="34">
        <f t="shared" si="3"/>
        <v>-5.984777120162903</v>
      </c>
      <c r="E31" s="34">
        <f t="shared" si="3"/>
        <v>-7.363370836457534</v>
      </c>
      <c r="F31" s="34">
        <f t="shared" si="3"/>
        <v>-8.151756571959368</v>
      </c>
      <c r="G31" s="34">
        <f t="shared" si="3"/>
        <v>-11.131869384806464</v>
      </c>
    </row>
    <row r="32" spans="1:7" ht="12.75">
      <c r="A32" s="2" t="s">
        <v>131</v>
      </c>
      <c r="B32" s="34">
        <f aca="true" t="shared" si="4" ref="B32:G46">C6-B6</f>
        <v>15.760749862951172</v>
      </c>
      <c r="C32" s="34">
        <f t="shared" si="4"/>
        <v>14.36613586462795</v>
      </c>
      <c r="D32" s="34">
        <f t="shared" si="4"/>
        <v>3.81719498855324</v>
      </c>
      <c r="E32" s="34">
        <f t="shared" si="4"/>
        <v>0.6521748196805675</v>
      </c>
      <c r="F32" s="34">
        <f t="shared" si="4"/>
        <v>-1.588938466458103</v>
      </c>
      <c r="G32" s="34">
        <f t="shared" si="4"/>
        <v>-7.087201281701425</v>
      </c>
    </row>
    <row r="33" spans="1:7" ht="12.75">
      <c r="A33" s="2" t="s">
        <v>133</v>
      </c>
      <c r="B33" s="34">
        <f t="shared" si="4"/>
        <v>-15.119668575872424</v>
      </c>
      <c r="C33" s="34">
        <f t="shared" si="4"/>
        <v>10.996624819168858</v>
      </c>
      <c r="D33" s="34">
        <f t="shared" si="4"/>
        <v>2.1364201276989263</v>
      </c>
      <c r="E33" s="34">
        <f t="shared" si="4"/>
        <v>-3.714092650805526</v>
      </c>
      <c r="F33" s="34">
        <f t="shared" si="4"/>
        <v>-5.671840776255976</v>
      </c>
      <c r="G33" s="34">
        <f t="shared" si="4"/>
        <v>-11.265486287930202</v>
      </c>
    </row>
    <row r="34" spans="1:7" ht="12.75">
      <c r="A34" s="2" t="s">
        <v>195</v>
      </c>
      <c r="B34" s="34">
        <f t="shared" si="4"/>
        <v>9.25294129994073</v>
      </c>
      <c r="C34" s="34">
        <f t="shared" si="4"/>
        <v>8.049461055053428</v>
      </c>
      <c r="D34" s="34">
        <f t="shared" si="4"/>
        <v>3.9660507278036334</v>
      </c>
      <c r="E34" s="34">
        <f t="shared" si="4"/>
        <v>1.5153376160456276</v>
      </c>
      <c r="F34" s="34">
        <f t="shared" si="4"/>
        <v>0.38583446852602776</v>
      </c>
      <c r="G34" s="34">
        <f t="shared" si="4"/>
        <v>-2.391407230875103</v>
      </c>
    </row>
    <row r="35" spans="1:7" ht="12.75">
      <c r="A35" s="2" t="s">
        <v>196</v>
      </c>
      <c r="B35" s="34">
        <f t="shared" si="4"/>
        <v>32.39148490134659</v>
      </c>
      <c r="C35" s="34">
        <f t="shared" si="4"/>
        <v>26.478738392410207</v>
      </c>
      <c r="D35" s="34">
        <f t="shared" si="4"/>
        <v>10.96574019007312</v>
      </c>
      <c r="E35" s="34">
        <f t="shared" si="4"/>
        <v>5.470373050297894</v>
      </c>
      <c r="F35" s="34">
        <f t="shared" si="4"/>
        <v>2.192814783488245</v>
      </c>
      <c r="G35" s="34">
        <f t="shared" si="4"/>
        <v>-8.128077898066635</v>
      </c>
    </row>
    <row r="36" spans="1:7" ht="12.75">
      <c r="A36" s="2" t="s">
        <v>197</v>
      </c>
      <c r="B36" s="34">
        <f t="shared" si="4"/>
        <v>8.8765765986453</v>
      </c>
      <c r="C36" s="34">
        <f t="shared" si="4"/>
        <v>5.551691495967589</v>
      </c>
      <c r="D36" s="34">
        <f t="shared" si="4"/>
        <v>2.5589515136756233</v>
      </c>
      <c r="E36" s="34">
        <f t="shared" si="4"/>
        <v>0.06076935997779742</v>
      </c>
      <c r="F36" s="34">
        <f t="shared" si="4"/>
        <v>-1.444416208301476</v>
      </c>
      <c r="G36" s="34">
        <f t="shared" si="4"/>
        <v>-5.446513099923635</v>
      </c>
    </row>
    <row r="37" spans="1:7" ht="12.75">
      <c r="A37" s="2" t="s">
        <v>214</v>
      </c>
      <c r="B37" s="34">
        <f t="shared" si="4"/>
        <v>112.62372980947544</v>
      </c>
      <c r="C37" s="34">
        <f t="shared" si="4"/>
        <v>214.60903817164694</v>
      </c>
      <c r="D37" s="34">
        <f t="shared" si="4"/>
        <v>86.27889628622802</v>
      </c>
      <c r="E37" s="34">
        <f t="shared" si="4"/>
        <v>79.32479500998784</v>
      </c>
      <c r="F37" s="34">
        <f t="shared" si="4"/>
        <v>70.785115587571</v>
      </c>
      <c r="G37" s="34">
        <f t="shared" si="4"/>
        <v>20.93923656547122</v>
      </c>
    </row>
    <row r="38" spans="1:7" ht="12.75">
      <c r="A38" s="2" t="s">
        <v>216</v>
      </c>
      <c r="B38" s="34">
        <f t="shared" si="4"/>
        <v>14.220439938082848</v>
      </c>
      <c r="C38" s="34">
        <f t="shared" si="4"/>
        <v>107.81378087097971</v>
      </c>
      <c r="D38" s="34">
        <f t="shared" si="4"/>
        <v>58.492760125453</v>
      </c>
      <c r="E38" s="34">
        <f t="shared" si="4"/>
        <v>65.91779752926311</v>
      </c>
      <c r="F38" s="34">
        <f t="shared" si="4"/>
        <v>67.31018629314212</v>
      </c>
      <c r="G38" s="34">
        <f t="shared" si="4"/>
        <v>56.565793532584735</v>
      </c>
    </row>
    <row r="39" spans="1:7" ht="12.75">
      <c r="A39" s="2" t="s">
        <v>217</v>
      </c>
      <c r="B39" s="34">
        <f t="shared" si="4"/>
        <v>16.549315527529103</v>
      </c>
      <c r="C39" s="34">
        <f t="shared" si="4"/>
        <v>23.16678289265235</v>
      </c>
      <c r="D39" s="34">
        <f t="shared" si="4"/>
        <v>11.684068021463872</v>
      </c>
      <c r="E39" s="34">
        <f t="shared" si="4"/>
        <v>18.424932914607098</v>
      </c>
      <c r="F39" s="34">
        <f t="shared" si="4"/>
        <v>16.70956202800039</v>
      </c>
      <c r="G39" s="34">
        <f t="shared" si="4"/>
        <v>9.580098462603019</v>
      </c>
    </row>
    <row r="40" spans="1:7" ht="12.75">
      <c r="A40" s="2" t="s">
        <v>218</v>
      </c>
      <c r="B40" s="34">
        <f t="shared" si="4"/>
        <v>-0.5411259795113068</v>
      </c>
      <c r="C40" s="34">
        <f t="shared" si="4"/>
        <v>2.2628636968514115</v>
      </c>
      <c r="D40" s="34">
        <f t="shared" si="4"/>
        <v>0.04977885309297392</v>
      </c>
      <c r="E40" s="34">
        <f t="shared" si="4"/>
        <v>-0.5247520763550853</v>
      </c>
      <c r="F40" s="34">
        <f t="shared" si="4"/>
        <v>-0.8483146214594228</v>
      </c>
      <c r="G40" s="34">
        <f t="shared" si="4"/>
        <v>-1.0619488659834246</v>
      </c>
    </row>
    <row r="41" spans="1:7" ht="12.75">
      <c r="A41" s="2" t="s">
        <v>219</v>
      </c>
      <c r="B41" s="34">
        <f t="shared" si="4"/>
        <v>82.39510032337478</v>
      </c>
      <c r="C41" s="34">
        <f t="shared" si="4"/>
        <v>81.36561071116364</v>
      </c>
      <c r="D41" s="34">
        <f t="shared" si="4"/>
        <v>16.052289286217956</v>
      </c>
      <c r="E41" s="34">
        <f t="shared" si="4"/>
        <v>-4.493183357527187</v>
      </c>
      <c r="F41" s="34">
        <f t="shared" si="4"/>
        <v>-12.386318112112235</v>
      </c>
      <c r="G41" s="34">
        <f t="shared" si="4"/>
        <v>-44.14470656373328</v>
      </c>
    </row>
    <row r="42" spans="1:7" ht="12.75">
      <c r="A42" s="2" t="s">
        <v>215</v>
      </c>
      <c r="B42" s="34">
        <f t="shared" si="4"/>
        <v>12.051522691252103</v>
      </c>
      <c r="C42" s="34">
        <f t="shared" si="4"/>
        <v>6.2465092063416705</v>
      </c>
      <c r="D42" s="34">
        <f t="shared" si="4"/>
        <v>5.242056507779125</v>
      </c>
      <c r="E42" s="34">
        <f t="shared" si="4"/>
        <v>1.8366654754895535</v>
      </c>
      <c r="F42" s="34">
        <f t="shared" si="4"/>
        <v>-0.3785839264670585</v>
      </c>
      <c r="G42" s="34">
        <f t="shared" si="4"/>
        <v>-5.9470247525354125</v>
      </c>
    </row>
    <row r="43" spans="1:7" ht="12.75">
      <c r="A43" s="2" t="s">
        <v>221</v>
      </c>
      <c r="B43" s="34">
        <f t="shared" si="4"/>
        <v>-9.264999999999986</v>
      </c>
      <c r="C43" s="34">
        <f t="shared" si="4"/>
        <v>-0.8969999999999345</v>
      </c>
      <c r="D43" s="34">
        <f t="shared" si="4"/>
        <v>-0.6709999999999923</v>
      </c>
      <c r="E43" s="34">
        <f t="shared" si="4"/>
        <v>-0.6660000000000537</v>
      </c>
      <c r="F43" s="34">
        <f t="shared" si="4"/>
        <v>-0.66599999999994</v>
      </c>
      <c r="G43" s="34">
        <f t="shared" si="4"/>
        <v>0</v>
      </c>
    </row>
    <row r="44" spans="1:7" ht="12.75">
      <c r="A44" s="2" t="s">
        <v>222</v>
      </c>
      <c r="B44" s="34">
        <f t="shared" si="4"/>
        <v>1.2999999999999972</v>
      </c>
      <c r="C44" s="34">
        <f t="shared" si="4"/>
        <v>1.4000000000000057</v>
      </c>
      <c r="D44" s="34">
        <f t="shared" si="4"/>
        <v>1</v>
      </c>
      <c r="E44" s="34">
        <f t="shared" si="4"/>
        <v>0.5999999999999943</v>
      </c>
      <c r="F44" s="34">
        <f t="shared" si="4"/>
        <v>0.20000000000000284</v>
      </c>
      <c r="G44" s="34">
        <f t="shared" si="4"/>
        <v>0</v>
      </c>
    </row>
    <row r="45" spans="1:7" ht="12.75">
      <c r="A45" s="2" t="s">
        <v>220</v>
      </c>
      <c r="B45" s="34">
        <f t="shared" si="4"/>
        <v>20.016522691252135</v>
      </c>
      <c r="C45" s="34">
        <f t="shared" si="4"/>
        <v>5.743509206341571</v>
      </c>
      <c r="D45" s="34">
        <f t="shared" si="4"/>
        <v>4.913056507779004</v>
      </c>
      <c r="E45" s="34">
        <f t="shared" si="4"/>
        <v>1.9026654754896413</v>
      </c>
      <c r="F45" s="34">
        <f t="shared" si="4"/>
        <v>0.08741607353289282</v>
      </c>
      <c r="G45" s="34">
        <f t="shared" si="4"/>
        <v>-5.9470247525354125</v>
      </c>
    </row>
    <row r="46" spans="1:7" ht="12.75">
      <c r="A46" s="2" t="s">
        <v>198</v>
      </c>
      <c r="B46" s="34">
        <f t="shared" si="4"/>
        <v>8.299999999999983</v>
      </c>
      <c r="C46" s="34">
        <f t="shared" si="4"/>
        <v>15.100000000000023</v>
      </c>
      <c r="D46" s="34">
        <f t="shared" si="4"/>
        <v>5.799999999999983</v>
      </c>
      <c r="E46" s="34">
        <f t="shared" si="4"/>
        <v>4.200000000000017</v>
      </c>
      <c r="F46" s="34">
        <f t="shared" si="4"/>
        <v>3</v>
      </c>
      <c r="G46" s="34">
        <f t="shared" si="4"/>
        <v>-1.6000000000000227</v>
      </c>
    </row>
    <row r="47" spans="1:7" ht="12.75">
      <c r="A47" s="2"/>
      <c r="B47" s="108"/>
      <c r="C47" s="108"/>
      <c r="D47" s="108"/>
      <c r="E47" s="108"/>
      <c r="F47" s="108"/>
      <c r="G47" s="108"/>
    </row>
    <row r="48" spans="1:7" ht="12.75">
      <c r="A48" s="2" t="s">
        <v>209</v>
      </c>
      <c r="B48" s="34">
        <f aca="true" t="shared" si="5" ref="B48:G48">SUM(B31:B46)-B37-B42</f>
        <v>162.6263376797981</v>
      </c>
      <c r="C48" s="34">
        <f t="shared" si="5"/>
        <v>296.1023133080671</v>
      </c>
      <c r="D48" s="34">
        <f t="shared" si="5"/>
        <v>114.78053322164843</v>
      </c>
      <c r="E48" s="34">
        <f t="shared" si="5"/>
        <v>81.98265184421638</v>
      </c>
      <c r="F48" s="34">
        <f t="shared" si="5"/>
        <v>59.12822889014319</v>
      </c>
      <c r="G48" s="34">
        <f t="shared" si="5"/>
        <v>-32.05834337036785</v>
      </c>
    </row>
    <row r="49" spans="1:7" ht="12.75">
      <c r="A49" s="2" t="s">
        <v>210</v>
      </c>
      <c r="B49" s="34">
        <f aca="true" t="shared" si="6" ref="B49:G50">C23-B23</f>
        <v>23.100000000000364</v>
      </c>
      <c r="C49" s="34">
        <f t="shared" si="6"/>
        <v>355.89999999999964</v>
      </c>
      <c r="D49" s="34">
        <f t="shared" si="6"/>
        <v>228.5</v>
      </c>
      <c r="E49" s="34">
        <f t="shared" si="6"/>
        <v>278.5</v>
      </c>
      <c r="F49" s="34">
        <f t="shared" si="6"/>
        <v>226.40000000000055</v>
      </c>
      <c r="G49" s="34">
        <f t="shared" si="6"/>
        <v>35</v>
      </c>
    </row>
    <row r="50" spans="1:7" ht="12.75">
      <c r="A50" s="2" t="s">
        <v>211</v>
      </c>
      <c r="B50" s="34">
        <f t="shared" si="6"/>
        <v>0.5953758200089396</v>
      </c>
      <c r="C50" s="34">
        <f t="shared" si="6"/>
        <v>146.9107457428065</v>
      </c>
      <c r="D50" s="34">
        <f t="shared" si="6"/>
        <v>92.95485595485638</v>
      </c>
      <c r="E50" s="34">
        <f t="shared" si="6"/>
        <v>112.2413277064436</v>
      </c>
      <c r="F50" s="34">
        <f t="shared" si="6"/>
        <v>110.00592795257717</v>
      </c>
      <c r="G50" s="34">
        <f t="shared" si="6"/>
        <v>12.784313725489937</v>
      </c>
    </row>
    <row r="51" ht="12.75">
      <c r="A51" s="2"/>
    </row>
    <row r="52" spans="2:8" ht="12.75">
      <c r="B52" s="129" t="s">
        <v>208</v>
      </c>
      <c r="C52" s="129"/>
      <c r="D52" s="129"/>
      <c r="E52" s="129"/>
      <c r="F52" s="129"/>
      <c r="G52" s="129"/>
      <c r="H52" s="129"/>
    </row>
    <row r="53" spans="2:8" ht="12.75">
      <c r="B53" s="129" t="s">
        <v>223</v>
      </c>
      <c r="C53" s="129"/>
      <c r="D53" s="129"/>
      <c r="E53" s="129"/>
      <c r="F53" s="129"/>
      <c r="G53" s="129"/>
      <c r="H53" s="129"/>
    </row>
    <row r="54" spans="2:8" ht="12.75">
      <c r="B54" s="29"/>
      <c r="C54" s="29"/>
      <c r="D54" s="29"/>
      <c r="E54" s="29"/>
      <c r="F54" s="29"/>
      <c r="G54" s="29"/>
      <c r="H54" s="29"/>
    </row>
    <row r="55" spans="2:7" ht="12.75">
      <c r="B55" s="30" t="s">
        <v>201</v>
      </c>
      <c r="C55" s="30" t="s">
        <v>202</v>
      </c>
      <c r="D55" s="30" t="s">
        <v>203</v>
      </c>
      <c r="E55" s="30" t="s">
        <v>204</v>
      </c>
      <c r="F55" s="30" t="s">
        <v>205</v>
      </c>
      <c r="G55" s="30" t="s">
        <v>206</v>
      </c>
    </row>
    <row r="56" spans="1:7" ht="12.75">
      <c r="A56" s="110" t="s">
        <v>193</v>
      </c>
      <c r="B56" s="110">
        <v>2005</v>
      </c>
      <c r="C56" s="110">
        <v>2010</v>
      </c>
      <c r="D56" s="110">
        <v>2015</v>
      </c>
      <c r="E56" s="110">
        <v>2020</v>
      </c>
      <c r="F56" s="110">
        <v>2025</v>
      </c>
      <c r="G56" s="110">
        <v>2030</v>
      </c>
    </row>
    <row r="57" spans="1:7" ht="12.75">
      <c r="A57" s="2" t="s">
        <v>194</v>
      </c>
      <c r="B57" s="5">
        <f aca="true" t="shared" si="7" ref="B57:G57">(C5-B5)/B5</f>
        <v>-0.25218052647058437</v>
      </c>
      <c r="C57" s="5">
        <f t="shared" si="7"/>
        <v>-0.08302192551199698</v>
      </c>
      <c r="D57" s="5">
        <f t="shared" si="7"/>
        <v>-0.10231592350240486</v>
      </c>
      <c r="E57" s="5">
        <f t="shared" si="7"/>
        <v>-0.14023241028747002</v>
      </c>
      <c r="F57" s="5">
        <f t="shared" si="7"/>
        <v>-0.18056844504545078</v>
      </c>
      <c r="G57" s="5">
        <f t="shared" si="7"/>
        <v>-0.30091654993209604</v>
      </c>
    </row>
    <row r="58" spans="1:7" ht="12.75">
      <c r="A58" s="2" t="s">
        <v>131</v>
      </c>
      <c r="B58" s="5">
        <f aca="true" t="shared" si="8" ref="B58:G72">(C6-B6)/B6</f>
        <v>0.10914646719495272</v>
      </c>
      <c r="C58" s="5">
        <f t="shared" si="8"/>
        <v>0.08969823053976075</v>
      </c>
      <c r="D58" s="5">
        <f t="shared" si="8"/>
        <v>0.021871673081427352</v>
      </c>
      <c r="E58" s="5">
        <f t="shared" si="8"/>
        <v>0.0036568346819349975</v>
      </c>
      <c r="F58" s="5">
        <f t="shared" si="8"/>
        <v>-0.008876936904080621</v>
      </c>
      <c r="G58" s="5">
        <f t="shared" si="8"/>
        <v>-0.03994875408059289</v>
      </c>
    </row>
    <row r="59" spans="1:7" ht="12.75">
      <c r="A59" s="2" t="s">
        <v>133</v>
      </c>
      <c r="B59" s="5">
        <f t="shared" si="8"/>
        <v>-0.11666410938173168</v>
      </c>
      <c r="C59" s="5">
        <f t="shared" si="8"/>
        <v>0.09605689189026263</v>
      </c>
      <c r="D59" s="5">
        <f t="shared" si="8"/>
        <v>0.017026394261241605</v>
      </c>
      <c r="E59" s="5">
        <f t="shared" si="8"/>
        <v>-0.02910425816184019</v>
      </c>
      <c r="F59" s="5">
        <f t="shared" si="8"/>
        <v>-0.04577783346242001</v>
      </c>
      <c r="G59" s="5">
        <f t="shared" si="8"/>
        <v>-0.09528655959574929</v>
      </c>
    </row>
    <row r="60" spans="1:7" ht="12.75">
      <c r="A60" s="2" t="s">
        <v>195</v>
      </c>
      <c r="B60" s="5">
        <f t="shared" si="8"/>
        <v>0.1153733329169667</v>
      </c>
      <c r="C60" s="5">
        <f t="shared" si="8"/>
        <v>0.08998542628199482</v>
      </c>
      <c r="D60" s="5">
        <f t="shared" si="8"/>
        <v>0.040676441113355694</v>
      </c>
      <c r="E60" s="5">
        <f t="shared" si="8"/>
        <v>0.014934076257269035</v>
      </c>
      <c r="F60" s="5">
        <f t="shared" si="8"/>
        <v>0.0037465553162082327</v>
      </c>
      <c r="G60" s="5">
        <f t="shared" si="8"/>
        <v>-0.02313452551465762</v>
      </c>
    </row>
    <row r="61" spans="1:7" ht="12.75">
      <c r="A61" s="2" t="s">
        <v>196</v>
      </c>
      <c r="B61" s="5">
        <f t="shared" si="8"/>
        <v>0.08585074185355575</v>
      </c>
      <c r="C61" s="5">
        <f t="shared" si="8"/>
        <v>0.06463092196994591</v>
      </c>
      <c r="D61" s="5">
        <f t="shared" si="8"/>
        <v>0.02514096470700108</v>
      </c>
      <c r="E61" s="5">
        <f t="shared" si="8"/>
        <v>0.012234249751855898</v>
      </c>
      <c r="F61" s="5">
        <f t="shared" si="8"/>
        <v>0.0048448609895299175</v>
      </c>
      <c r="G61" s="5">
        <f t="shared" si="8"/>
        <v>-0.0178717965381388</v>
      </c>
    </row>
    <row r="62" spans="1:7" ht="12.75">
      <c r="A62" s="2" t="s">
        <v>197</v>
      </c>
      <c r="B62" s="5">
        <f t="shared" si="8"/>
        <v>0.062030584197381555</v>
      </c>
      <c r="C62" s="5">
        <f t="shared" si="8"/>
        <v>0.03652991546604607</v>
      </c>
      <c r="D62" s="5">
        <f t="shared" si="8"/>
        <v>0.016244395654364044</v>
      </c>
      <c r="E62" s="5">
        <f t="shared" si="8"/>
        <v>0.0003796015704844629</v>
      </c>
      <c r="F62" s="5">
        <f t="shared" si="8"/>
        <v>-0.009019259109071238</v>
      </c>
      <c r="G62" s="5">
        <f t="shared" si="8"/>
        <v>-0.03431878063741734</v>
      </c>
    </row>
    <row r="63" spans="1:7" ht="12.75">
      <c r="A63" s="2" t="s">
        <v>214</v>
      </c>
      <c r="B63" s="5">
        <f t="shared" si="8"/>
        <v>0.10385978429268346</v>
      </c>
      <c r="C63" s="5">
        <f t="shared" si="8"/>
        <v>0.1792881586929523</v>
      </c>
      <c r="D63" s="5">
        <f t="shared" si="8"/>
        <v>0.06112068907908865</v>
      </c>
      <c r="E63" s="5">
        <f t="shared" si="8"/>
        <v>0.05295754419435559</v>
      </c>
      <c r="F63" s="5">
        <f t="shared" si="8"/>
        <v>0.04487970192815964</v>
      </c>
      <c r="G63" s="5">
        <f t="shared" si="8"/>
        <v>0.012705816216700107</v>
      </c>
    </row>
    <row r="64" spans="1:7" ht="12.75">
      <c r="A64" s="2" t="s">
        <v>216</v>
      </c>
      <c r="B64" s="5">
        <f t="shared" si="8"/>
        <v>0.04054640602658707</v>
      </c>
      <c r="C64" s="5">
        <f t="shared" si="8"/>
        <v>0.2954283408830101</v>
      </c>
      <c r="D64" s="5">
        <f t="shared" si="8"/>
        <v>0.12372760321116047</v>
      </c>
      <c r="E64" s="5">
        <f t="shared" si="8"/>
        <v>0.12408123976158908</v>
      </c>
      <c r="F64" s="5">
        <f t="shared" si="8"/>
        <v>0.11271624925519137</v>
      </c>
      <c r="G64" s="5">
        <f t="shared" si="8"/>
        <v>0.08512854096890972</v>
      </c>
    </row>
    <row r="65" spans="1:7" ht="12.75">
      <c r="A65" s="2" t="s">
        <v>217</v>
      </c>
      <c r="B65" s="5">
        <f t="shared" si="8"/>
        <v>0.10228681995719742</v>
      </c>
      <c r="C65" s="5">
        <f t="shared" si="8"/>
        <v>0.1299004796531273</v>
      </c>
      <c r="D65" s="5">
        <f t="shared" si="8"/>
        <v>0.057982763412648845</v>
      </c>
      <c r="E65" s="5">
        <f t="shared" si="8"/>
        <v>0.08642356079357323</v>
      </c>
      <c r="F65" s="5">
        <f t="shared" si="8"/>
        <v>0.07214265681572844</v>
      </c>
      <c r="G65" s="5">
        <f t="shared" si="8"/>
        <v>0.03857842228454327</v>
      </c>
    </row>
    <row r="66" spans="1:7" ht="12.75">
      <c r="A66" s="2" t="s">
        <v>218</v>
      </c>
      <c r="B66" s="5">
        <f t="shared" si="8"/>
        <v>-0.00798101651778284</v>
      </c>
      <c r="C66" s="5">
        <f t="shared" si="8"/>
        <v>0.03364327277533457</v>
      </c>
      <c r="D66" s="5">
        <f t="shared" si="8"/>
        <v>0.0007160016868066292</v>
      </c>
      <c r="E66" s="5">
        <f t="shared" si="8"/>
        <v>-0.007542450707656999</v>
      </c>
      <c r="F66" s="5">
        <f t="shared" si="8"/>
        <v>-0.012285796793126611</v>
      </c>
      <c r="G66" s="5">
        <f t="shared" si="8"/>
        <v>-0.015571078059521888</v>
      </c>
    </row>
    <row r="67" spans="1:7" ht="12.75">
      <c r="A67" s="2" t="s">
        <v>219</v>
      </c>
      <c r="B67" s="5">
        <f t="shared" si="8"/>
        <v>0.1634604521037047</v>
      </c>
      <c r="C67" s="5">
        <f t="shared" si="8"/>
        <v>0.13873964275764153</v>
      </c>
      <c r="D67" s="5">
        <f t="shared" si="8"/>
        <v>0.024036554888365955</v>
      </c>
      <c r="E67" s="5">
        <f t="shared" si="8"/>
        <v>-0.006570129430994054</v>
      </c>
      <c r="F67" s="5">
        <f t="shared" si="8"/>
        <v>-0.018231600631150948</v>
      </c>
      <c r="G67" s="5">
        <f t="shared" si="8"/>
        <v>-0.06618386942778377</v>
      </c>
    </row>
    <row r="68" spans="1:7" ht="12.75">
      <c r="A68" s="2" t="s">
        <v>215</v>
      </c>
      <c r="B68" s="5">
        <f t="shared" si="8"/>
        <v>0.018077030958444738</v>
      </c>
      <c r="C68" s="5">
        <f t="shared" si="8"/>
        <v>0.009203264929604394</v>
      </c>
      <c r="D68" s="5">
        <f t="shared" si="8"/>
        <v>0.007652927357343721</v>
      </c>
      <c r="E68" s="5">
        <f t="shared" si="8"/>
        <v>0.002661000672605093</v>
      </c>
      <c r="F68" s="5">
        <f t="shared" si="8"/>
        <v>-0.0005470448955575317</v>
      </c>
      <c r="G68" s="5">
        <f t="shared" si="8"/>
        <v>-0.008598014803599681</v>
      </c>
    </row>
    <row r="69" spans="1:7" ht="12.75">
      <c r="A69" s="2" t="s">
        <v>221</v>
      </c>
      <c r="B69" s="5">
        <f t="shared" si="8"/>
        <v>-0.02704509364345426</v>
      </c>
      <c r="C69" s="5">
        <f t="shared" si="8"/>
        <v>-0.002691180309080512</v>
      </c>
      <c r="D69" s="5">
        <f t="shared" si="8"/>
        <v>-0.0020185672083606354</v>
      </c>
      <c r="E69" s="5">
        <f t="shared" si="8"/>
        <v>-0.002007578155379476</v>
      </c>
      <c r="F69" s="5">
        <f t="shared" si="8"/>
        <v>-0.002011616632988519</v>
      </c>
      <c r="G69" s="5">
        <f t="shared" si="8"/>
        <v>0</v>
      </c>
    </row>
    <row r="70" spans="1:7" ht="12.75">
      <c r="A70" s="2" t="s">
        <v>222</v>
      </c>
      <c r="B70" s="5">
        <f t="shared" si="8"/>
        <v>0.016393442622950786</v>
      </c>
      <c r="C70" s="5">
        <f t="shared" si="8"/>
        <v>0.017369727047146472</v>
      </c>
      <c r="D70" s="5">
        <f t="shared" si="8"/>
        <v>0.012195121951219513</v>
      </c>
      <c r="E70" s="5">
        <f t="shared" si="8"/>
        <v>0.007228915662650534</v>
      </c>
      <c r="F70" s="5">
        <f t="shared" si="8"/>
        <v>0.0023923444976076897</v>
      </c>
      <c r="G70" s="5">
        <f t="shared" si="8"/>
        <v>0</v>
      </c>
    </row>
    <row r="71" spans="1:7" ht="12.75">
      <c r="A71" s="2" t="s">
        <v>220</v>
      </c>
      <c r="B71" s="5">
        <f t="shared" si="8"/>
        <v>0.08176684105903649</v>
      </c>
      <c r="C71" s="5">
        <f t="shared" si="8"/>
        <v>0.02168863614691403</v>
      </c>
      <c r="D71" s="5">
        <f t="shared" si="8"/>
        <v>0.018158840658470145</v>
      </c>
      <c r="E71" s="5">
        <f t="shared" si="8"/>
        <v>0.006906901456340344</v>
      </c>
      <c r="F71" s="5">
        <f t="shared" si="8"/>
        <v>0.0003151539826744897</v>
      </c>
      <c r="G71" s="5">
        <f t="shared" si="8"/>
        <v>-0.021433564510608325</v>
      </c>
    </row>
    <row r="72" spans="1:7" ht="12.75">
      <c r="A72" s="2" t="s">
        <v>198</v>
      </c>
      <c r="B72" s="5">
        <f t="shared" si="8"/>
        <v>0.05828651685393246</v>
      </c>
      <c r="C72" s="5">
        <f t="shared" si="8"/>
        <v>0.10019907100199087</v>
      </c>
      <c r="D72" s="5">
        <f t="shared" si="8"/>
        <v>0.034981905910735724</v>
      </c>
      <c r="E72" s="5">
        <f t="shared" si="8"/>
        <v>0.024475524475524577</v>
      </c>
      <c r="F72" s="5">
        <f t="shared" si="8"/>
        <v>0.017064846416382253</v>
      </c>
      <c r="G72" s="5">
        <f t="shared" si="8"/>
        <v>-0.008948545861297666</v>
      </c>
    </row>
    <row r="73" spans="1:7" ht="12.75">
      <c r="A73" s="2"/>
      <c r="B73" s="109"/>
      <c r="C73" s="109"/>
      <c r="D73" s="109"/>
      <c r="E73" s="109"/>
      <c r="F73" s="109"/>
      <c r="G73" s="109"/>
    </row>
    <row r="74" spans="1:7" ht="12.75">
      <c r="A74" s="2" t="s">
        <v>209</v>
      </c>
      <c r="B74" s="5">
        <f aca="true" t="shared" si="9" ref="B74:G74">(C22-B22)/B22</f>
        <v>0.056994709630295355</v>
      </c>
      <c r="C74" s="5">
        <f t="shared" si="9"/>
        <v>0.09817765400893604</v>
      </c>
      <c r="D74" s="5">
        <f t="shared" si="9"/>
        <v>0.03465504647085355</v>
      </c>
      <c r="E74" s="5">
        <f t="shared" si="9"/>
        <v>0.023923495164728376</v>
      </c>
      <c r="F74" s="5">
        <f t="shared" si="9"/>
        <v>0.016851168807556643</v>
      </c>
      <c r="G74" s="5">
        <f t="shared" si="9"/>
        <v>-0.008985015751393082</v>
      </c>
    </row>
    <row r="75" spans="1:7" ht="12.75">
      <c r="A75" s="2" t="s">
        <v>210</v>
      </c>
      <c r="B75" s="5">
        <f aca="true" t="shared" si="10" ref="B75:G76">(C23-B23)/B23</f>
        <v>0.0050826200796497975</v>
      </c>
      <c r="C75" s="5">
        <f t="shared" si="10"/>
        <v>0.07791155866900167</v>
      </c>
      <c r="D75" s="5">
        <f t="shared" si="10"/>
        <v>0.04640630394605902</v>
      </c>
      <c r="E75" s="5">
        <f t="shared" si="10"/>
        <v>0.05405248039748467</v>
      </c>
      <c r="F75" s="5">
        <f t="shared" si="10"/>
        <v>0.041687381465318925</v>
      </c>
      <c r="G75" s="5">
        <f t="shared" si="10"/>
        <v>0.006186696834178849</v>
      </c>
    </row>
    <row r="76" spans="1:7" ht="12.75">
      <c r="A76" s="2" t="s">
        <v>211</v>
      </c>
      <c r="B76" s="5">
        <f t="shared" si="10"/>
        <v>0.0003486211924194799</v>
      </c>
      <c r="C76" s="5">
        <f t="shared" si="10"/>
        <v>0.08599333195847925</v>
      </c>
      <c r="D76" s="5">
        <f t="shared" si="10"/>
        <v>0.050102123944323285</v>
      </c>
      <c r="E76" s="5">
        <f t="shared" si="10"/>
        <v>0.057610986674532086</v>
      </c>
      <c r="F76" s="5">
        <f t="shared" si="10"/>
        <v>0.053387877225343605</v>
      </c>
      <c r="G76" s="5">
        <f t="shared" si="10"/>
        <v>0.00589000505889993</v>
      </c>
    </row>
  </sheetData>
  <mergeCells count="6">
    <mergeCell ref="B53:H53"/>
    <mergeCell ref="B27:H27"/>
    <mergeCell ref="B52:H52"/>
    <mergeCell ref="B1:H1"/>
    <mergeCell ref="B2:H2"/>
    <mergeCell ref="B26:H2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/>
  <dimension ref="A1:AV4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"/>
    </sheetView>
  </sheetViews>
  <sheetFormatPr defaultColWidth="9.140625" defaultRowHeight="12.75"/>
  <cols>
    <col min="1" max="1" width="11.140625" style="0" customWidth="1"/>
    <col min="2" max="4" width="11.00390625" style="0" customWidth="1"/>
    <col min="5" max="5" width="10.57421875" style="0" customWidth="1"/>
    <col min="6" max="6" width="16.28125" style="0" customWidth="1"/>
    <col min="7" max="7" width="10.140625" style="0" customWidth="1"/>
    <col min="8" max="8" width="11.28125" style="0" customWidth="1"/>
    <col min="9" max="9" width="13.00390625" style="0" customWidth="1"/>
    <col min="10" max="10" width="11.140625" style="0" customWidth="1"/>
    <col min="11" max="11" width="11.00390625" style="0" customWidth="1"/>
    <col min="12" max="12" width="13.421875" style="0" customWidth="1"/>
    <col min="13" max="13" width="2.28125" style="0" customWidth="1"/>
    <col min="14" max="14" width="14.421875" style="0" customWidth="1"/>
    <col min="15" max="15" width="2.28125" style="0" customWidth="1"/>
    <col min="16" max="17" width="13.7109375" style="0" customWidth="1"/>
    <col min="18" max="18" width="10.7109375" style="0" customWidth="1"/>
    <col min="19" max="19" width="13.7109375" style="0" customWidth="1"/>
    <col min="20" max="20" width="12.00390625" style="0" customWidth="1"/>
    <col min="21" max="21" width="15.7109375" style="0" customWidth="1"/>
    <col min="22" max="22" width="2.28125" style="0" customWidth="1"/>
    <col min="23" max="25" width="12.7109375" style="0" customWidth="1"/>
    <col min="26" max="26" width="20.00390625" style="0" customWidth="1"/>
    <col min="27" max="27" width="1.7109375" style="0" customWidth="1"/>
    <col min="28" max="28" width="19.8515625" style="0" customWidth="1"/>
    <col min="29" max="33" width="12.7109375" style="0" customWidth="1"/>
    <col min="34" max="34" width="14.140625" style="0" customWidth="1"/>
    <col min="35" max="38" width="12.7109375" style="0" customWidth="1"/>
    <col min="40" max="43" width="12.7109375" style="0" customWidth="1"/>
  </cols>
  <sheetData>
    <row r="1" spans="1:48" ht="38.25">
      <c r="A1" s="30" t="s">
        <v>114</v>
      </c>
      <c r="B1" s="30" t="s">
        <v>150</v>
      </c>
      <c r="C1" s="30" t="s">
        <v>152</v>
      </c>
      <c r="D1" s="30" t="s">
        <v>151</v>
      </c>
      <c r="E1" s="30" t="s">
        <v>153</v>
      </c>
      <c r="F1" s="30" t="s">
        <v>154</v>
      </c>
      <c r="G1" s="30" t="s">
        <v>123</v>
      </c>
      <c r="H1" s="30" t="s">
        <v>125</v>
      </c>
      <c r="I1" s="30" t="s">
        <v>155</v>
      </c>
      <c r="J1" s="30" t="s">
        <v>156</v>
      </c>
      <c r="K1" s="30" t="s">
        <v>157</v>
      </c>
      <c r="L1" s="30" t="s">
        <v>158</v>
      </c>
      <c r="N1" s="77" t="s">
        <v>160</v>
      </c>
      <c r="O1" s="77"/>
      <c r="P1" s="94" t="s">
        <v>161</v>
      </c>
      <c r="Q1" s="94" t="s">
        <v>159</v>
      </c>
      <c r="R1" s="94" t="s">
        <v>162</v>
      </c>
      <c r="S1" s="94" t="s">
        <v>163</v>
      </c>
      <c r="T1" s="94" t="s">
        <v>164</v>
      </c>
      <c r="U1" s="94" t="s">
        <v>165</v>
      </c>
      <c r="W1" s="94" t="s">
        <v>166</v>
      </c>
      <c r="X1" s="94" t="s">
        <v>167</v>
      </c>
      <c r="Y1" s="94" t="s">
        <v>168</v>
      </c>
      <c r="Z1" s="94" t="s">
        <v>169</v>
      </c>
      <c r="AB1" s="94" t="s">
        <v>170</v>
      </c>
      <c r="AC1" s="94" t="s">
        <v>171</v>
      </c>
      <c r="AD1" s="94" t="s">
        <v>172</v>
      </c>
      <c r="AE1" s="94" t="s">
        <v>173</v>
      </c>
      <c r="AF1" s="94" t="s">
        <v>174</v>
      </c>
      <c r="AG1" s="94" t="s">
        <v>175</v>
      </c>
      <c r="AH1" s="77" t="s">
        <v>176</v>
      </c>
      <c r="AI1" s="94" t="s">
        <v>177</v>
      </c>
      <c r="AJ1" s="94" t="s">
        <v>178</v>
      </c>
      <c r="AK1" s="94" t="s">
        <v>179</v>
      </c>
      <c r="AL1" s="94" t="s">
        <v>180</v>
      </c>
      <c r="AN1" s="77" t="s">
        <v>181</v>
      </c>
      <c r="AO1" s="77" t="s">
        <v>182</v>
      </c>
      <c r="AP1" s="77" t="s">
        <v>183</v>
      </c>
      <c r="AQ1" s="77" t="s">
        <v>184</v>
      </c>
      <c r="AS1" s="77" t="s">
        <v>343</v>
      </c>
      <c r="AT1" s="77" t="s">
        <v>344</v>
      </c>
      <c r="AU1" s="77" t="s">
        <v>345</v>
      </c>
      <c r="AV1" s="2" t="s">
        <v>293</v>
      </c>
    </row>
    <row r="2" spans="1:48" s="98" customFormat="1" ht="12.75">
      <c r="A2" s="98">
        <v>2000</v>
      </c>
      <c r="B2" s="98">
        <f>MSAData!I32</f>
        <v>85.3</v>
      </c>
      <c r="C2" s="98">
        <f>MSAData!F32</f>
        <v>129.6</v>
      </c>
      <c r="D2" s="98">
        <f>MSAData!E32</f>
        <v>144.4</v>
      </c>
      <c r="E2" s="98">
        <f>MSAData!D32</f>
        <v>143.1</v>
      </c>
      <c r="F2" s="99">
        <f>MSAData!G32</f>
        <v>67.80163633361755</v>
      </c>
      <c r="G2" s="99">
        <f>MSAData!B32</f>
        <v>377.3</v>
      </c>
      <c r="H2" s="99">
        <f>MSAData!C32</f>
        <v>80.2</v>
      </c>
      <c r="I2" s="99">
        <f>MSAData!J32</f>
        <v>161.7932352814788</v>
      </c>
      <c r="J2" s="99">
        <f>MSAData!K32</f>
        <v>350.7201089230505</v>
      </c>
      <c r="K2" s="99">
        <f>MSAData!L32</f>
        <v>504.0674931640383</v>
      </c>
      <c r="L2" s="99">
        <f>MSAData!H32</f>
        <v>244.8</v>
      </c>
      <c r="N2" s="100">
        <f>ROUND(SUM(B2:L2),1)</f>
        <v>2289.1</v>
      </c>
      <c r="O2" s="100"/>
      <c r="P2" s="98">
        <f>AnnualFactorsHigh!J3</f>
        <v>342.57599999999996</v>
      </c>
      <c r="Q2" s="100">
        <f>ROUND((N2+P2),1)</f>
        <v>2631.7</v>
      </c>
      <c r="R2" s="100">
        <f>ROUND((AnnualFactorsHigh!G3*Q2),1)</f>
        <v>157.9</v>
      </c>
      <c r="S2" s="100">
        <f>Q2+R2</f>
        <v>2789.6</v>
      </c>
      <c r="T2" s="100">
        <f>ROUND(AnnualFactorsHigh!K3,1)</f>
        <v>79.3</v>
      </c>
      <c r="U2" s="100">
        <f>S2+T2</f>
        <v>2868.9</v>
      </c>
      <c r="V2" s="100"/>
      <c r="W2" s="100">
        <f>ROUND(AnnualFactorsHigh!B3*U2,1)</f>
        <v>172.1</v>
      </c>
      <c r="X2" s="100">
        <f>U2-W2</f>
        <v>2696.8</v>
      </c>
      <c r="Y2" s="100">
        <f>ROUND(AnnualFactorsHigh!F3*X2,1)</f>
        <v>165</v>
      </c>
      <c r="Z2" s="100">
        <f>X2-Y2</f>
        <v>2531.8</v>
      </c>
      <c r="AB2" s="101">
        <f>AnnualFactorsHigh!C3</f>
        <v>0.7847</v>
      </c>
      <c r="AC2" s="100">
        <f>ROUND((Z2/AB2),1)</f>
        <v>3226.5</v>
      </c>
      <c r="AD2" s="102">
        <f>AnnualFactorsHigh!D3</f>
        <v>0.3305806883005621</v>
      </c>
      <c r="AE2" s="100">
        <f>ROUND(AC2*AD2,1)</f>
        <v>1066.6</v>
      </c>
      <c r="AF2" s="102">
        <f>AnnualFactorsHigh!E3</f>
        <v>0.13048489008118738</v>
      </c>
      <c r="AG2" s="98">
        <f>ROUND(AC2*AF2,1)</f>
        <v>421</v>
      </c>
      <c r="AH2" s="100">
        <f>AC2+AE2+AG2</f>
        <v>4714.1</v>
      </c>
      <c r="AI2" s="98">
        <f>ROUND(AnnualFactorsHigh!H3*AH2,1)</f>
        <v>94.8</v>
      </c>
      <c r="AJ2" s="100">
        <f>AH2-AI2</f>
        <v>4619.3</v>
      </c>
      <c r="AK2" s="103">
        <f>AnnualFactorsHigh!I3</f>
        <v>2.60768</v>
      </c>
      <c r="AL2" s="100">
        <f>ROUND(AJ2/AK2,1)</f>
        <v>1771.4</v>
      </c>
      <c r="AN2" s="104">
        <f>ROUND(4544.9/AH$2*AH2,1)</f>
        <v>4544.9</v>
      </c>
      <c r="AO2" s="104">
        <f>ROUND(91.5/AI$2*AI2,1)</f>
        <v>91.5</v>
      </c>
      <c r="AP2" s="104">
        <f>AN2-AO2</f>
        <v>4453.4</v>
      </c>
      <c r="AQ2" s="100">
        <f>AP2/AK2</f>
        <v>1707.8015707448765</v>
      </c>
      <c r="AS2" s="100">
        <f>(AE2/(AC2+AE2+AG2))*AN2</f>
        <v>1028.317248255234</v>
      </c>
      <c r="AT2" s="100">
        <f>(AC2/(AC2+AE2+AG2))*AN2</f>
        <v>3110.693419740777</v>
      </c>
      <c r="AU2" s="100">
        <f>(AG2/(AC2+AE2+AG2))*AN2</f>
        <v>405.88933200398793</v>
      </c>
      <c r="AV2" s="115">
        <f>Y2/X2</f>
        <v>0.06118362503708098</v>
      </c>
    </row>
    <row r="3" spans="1:48" ht="12.75">
      <c r="A3">
        <v>2001</v>
      </c>
      <c r="B3" s="34">
        <f>SectorParameters!E$18+(SectorParameters!E$19*LN(A3))+SectorParameters!E$20*LN(NationalDataHigh!C45)</f>
        <v>75.71747269758941</v>
      </c>
      <c r="C3" s="34">
        <f>SectorParameters!E$11+(SectorParameters!E$12*NationalDataHigh!E45+SectorParameters!E$13*B3)</f>
        <v>119.65111253085584</v>
      </c>
      <c r="D3" s="34">
        <f>EXP(SectorParameters!B$11+SectorParameters!B$12*LN(NationalDataHigh!D45))</f>
        <v>156.56676698143968</v>
      </c>
      <c r="E3" s="34">
        <f>SectorParameters!H$3+(SectorParameters!H$4*NationalDataHigh!H45+SectorParameters!H$5*D2)</f>
        <v>147.88613550688416</v>
      </c>
      <c r="F3" s="34">
        <f>SectorParameters!H$11+SectorParameters!H$12*NationalDataHigh!L45</f>
        <v>65.59706701324939</v>
      </c>
      <c r="G3" s="34">
        <f>SectorParameters!B$3+SectorParameters!B$4*NationalDataHigh!F45</f>
        <v>400.611965330505</v>
      </c>
      <c r="H3" s="34">
        <f>EXP(SectorParameters!E$3+SectorParameters!E$4*LN(G2)+SectorParameters!E$5*LN(NationalDataHigh!G45))</f>
        <v>83.92183746251985</v>
      </c>
      <c r="I3" s="34">
        <f>SectorParameters!H$18+(SectorParameters!H$19*NationalDataHigh!K45+SectorParameters!H$20*MSAData!N33)</f>
        <v>173.80607403661264</v>
      </c>
      <c r="J3" s="34">
        <f>SectorParameters!B$26+SectorParameters!B$27*NationalDataHigh!J45</f>
        <v>319.5387295246499</v>
      </c>
      <c r="K3" s="34">
        <f>SectorParameters!E$26+SectorParameters!E$27*NationalDataHigh!M45</f>
        <v>542.7588238144023</v>
      </c>
      <c r="L3" s="34">
        <f>SectorParameters!B$18+SectorParameters!B$19*NationalDataHigh!N45</f>
        <v>257.7412842396827</v>
      </c>
      <c r="N3" s="34">
        <f>ROUND(SUM(B3:L3),1)</f>
        <v>2343.8</v>
      </c>
      <c r="O3" s="34"/>
      <c r="P3">
        <f>AnnualFactorsHigh!J4</f>
        <v>332.9819999999999</v>
      </c>
      <c r="Q3" s="34">
        <f>ROUND((N3+P3),1)</f>
        <v>2676.8</v>
      </c>
      <c r="R3" s="34">
        <f>ROUND((AnnualFactorsHigh!G4*Q3),1)</f>
        <v>160.6</v>
      </c>
      <c r="S3" s="34">
        <f>Q3+R3</f>
        <v>2837.4</v>
      </c>
      <c r="T3" s="34">
        <f>ROUND(AnnualFactorsHigh!K4,1)</f>
        <v>79.3</v>
      </c>
      <c r="U3" s="34">
        <f>S3+T3</f>
        <v>2916.7000000000003</v>
      </c>
      <c r="V3" s="34"/>
      <c r="W3" s="34">
        <f>ROUND(AnnualFactorsHigh!B4*U3,1)</f>
        <v>175</v>
      </c>
      <c r="X3" s="34">
        <f>U3-W3</f>
        <v>2741.7000000000003</v>
      </c>
      <c r="Y3" s="60">
        <f>ROUND(AnnualFactorsHigh!F4*X3,1)</f>
        <v>168.9</v>
      </c>
      <c r="Z3" s="34">
        <f>X3-Y3</f>
        <v>2572.8</v>
      </c>
      <c r="AB3" s="95">
        <f>AnnualFactorsHigh!C4</f>
        <v>0.7831337601225882</v>
      </c>
      <c r="AC3" s="34">
        <f>ROUND((Z3/AB3),1)</f>
        <v>3285.3</v>
      </c>
      <c r="AD3" s="8">
        <f>AnnualFactorsHigh!D4</f>
        <v>0.3284783703705315</v>
      </c>
      <c r="AE3" s="34">
        <f>ROUND(AC3*AD3,1)</f>
        <v>1079.1</v>
      </c>
      <c r="AF3" s="8">
        <f>AnnualFactorsHigh!E4</f>
        <v>0.13011068907365722</v>
      </c>
      <c r="AG3">
        <f>ROUND(AC3*AF3,1)</f>
        <v>427.5</v>
      </c>
      <c r="AH3" s="34">
        <f>AC3+AE3+AG3</f>
        <v>4791.9</v>
      </c>
      <c r="AI3">
        <f>ROUND(AnnualFactorsHigh!H4*AH3,1)</f>
        <v>96.3</v>
      </c>
      <c r="AJ3" s="34">
        <f>AH3-AI3</f>
        <v>4695.599999999999</v>
      </c>
      <c r="AK3" s="9">
        <f>AnnualFactorsHigh!I4</f>
        <v>2.607</v>
      </c>
      <c r="AL3" s="34">
        <f>ROUND(AJ3/AK3,1)</f>
        <v>1801.2</v>
      </c>
      <c r="AN3" s="96">
        <f>ROUND(4544.9/AH$2*AH3,1)</f>
        <v>4619.9</v>
      </c>
      <c r="AO3" s="96">
        <f>ROUND(91.5/AI$2*AI3,1)</f>
        <v>92.9</v>
      </c>
      <c r="AP3" s="96">
        <f>AN3-AO3</f>
        <v>4527</v>
      </c>
      <c r="AQ3" s="34">
        <f>AP3/AK3</f>
        <v>1736.4787111622554</v>
      </c>
      <c r="AS3" s="60">
        <f aca="true" t="shared" si="0" ref="AS3:AS32">(AE3/(AC3+AE3+AG3))*AN3</f>
        <v>1040.366887873286</v>
      </c>
      <c r="AT3" s="60">
        <f aca="true" t="shared" si="1" ref="AT3:AT32">(AC3/(AC3+AE3+AG3))*AN3</f>
        <v>3167.3777562136106</v>
      </c>
      <c r="AU3" s="60">
        <f aca="true" t="shared" si="2" ref="AU3:AU32">(AG3/(AC3+AE3+AG3))*AN3</f>
        <v>412.15535591310334</v>
      </c>
      <c r="AV3" s="115">
        <f aca="true" t="shared" si="3" ref="AV3:AV32">Y3/X3</f>
        <v>0.06160411423569318</v>
      </c>
    </row>
    <row r="4" spans="1:48" ht="12.75">
      <c r="A4">
        <v>2002</v>
      </c>
      <c r="B4" s="34">
        <f>SectorParameters!E$18+(SectorParameters!E$19*LN(A4))+SectorParameters!E$20*LN(NationalDataHigh!C46)</f>
        <v>67.39069724166734</v>
      </c>
      <c r="C4" s="34">
        <f>SectorParameters!E$11+(SectorParameters!E$12*NationalDataHigh!E46+SectorParameters!E$13*B4)</f>
        <v>109.31447752607394</v>
      </c>
      <c r="D4" s="34">
        <f>EXP(SectorParameters!B$11+SectorParameters!B$12*LN(NationalDataHigh!D46))</f>
        <v>152.9051488177872</v>
      </c>
      <c r="E4" s="34">
        <f>SectorParameters!H$3+(SectorParameters!H$4*NationalDataHigh!H46+SectorParameters!H$5*D3)</f>
        <v>150.71238364406153</v>
      </c>
      <c r="F4" s="34">
        <f>SectorParameters!H$11+SectorParameters!H$12*NationalDataHigh!L46</f>
        <v>65.77751535571142</v>
      </c>
      <c r="G4" s="34">
        <f>SectorParameters!B$3+SectorParameters!B$4*NationalDataHigh!F46</f>
        <v>397.0128164457522</v>
      </c>
      <c r="H4" s="34">
        <f>EXP(SectorParameters!E$3+SectorParameters!E$4*LN(G3)+SectorParameters!E$5*LN(NationalDataHigh!G46))</f>
        <v>86.65334428567415</v>
      </c>
      <c r="I4" s="34">
        <f>SectorParameters!H$18+(SectorParameters!H$19*NationalDataHigh!K46+SectorParameters!H$20*AH3)</f>
        <v>177.78051243386813</v>
      </c>
      <c r="J4" s="34">
        <f>SectorParameters!B$26+SectorParameters!B$27*NationalDataHigh!J46</f>
        <v>311.2372331221481</v>
      </c>
      <c r="K4" s="34">
        <f>SectorParameters!E$26+SectorParameters!E$27*NationalDataHigh!M46</f>
        <v>548.669564614004</v>
      </c>
      <c r="L4" s="34">
        <f>SectorParameters!B$18+SectorParameters!B$19*NationalDataHigh!N46</f>
        <v>262.15306420079645</v>
      </c>
      <c r="N4" s="34">
        <f>ROUND(SUM(B4:L4),1)</f>
        <v>2329.6</v>
      </c>
      <c r="O4" s="34"/>
      <c r="P4">
        <f>AnnualFactorsHigh!J5</f>
        <v>333.423</v>
      </c>
      <c r="Q4" s="34">
        <f>ROUND((N4+P4),1)</f>
        <v>2663</v>
      </c>
      <c r="R4" s="34">
        <f>ROUND((AnnualFactorsHigh!G5*Q4),1)</f>
        <v>159.8</v>
      </c>
      <c r="S4" s="34">
        <f>Q4+R4</f>
        <v>2822.8</v>
      </c>
      <c r="T4" s="34">
        <f>ROUND(AnnualFactorsHigh!K5,1)</f>
        <v>79.6</v>
      </c>
      <c r="U4" s="34">
        <f>S4+T4</f>
        <v>2902.4</v>
      </c>
      <c r="V4" s="34"/>
      <c r="W4" s="34">
        <f>ROUND(AnnualFactorsHigh!B5*U4,1)</f>
        <v>174.1</v>
      </c>
      <c r="X4" s="34">
        <f>U4-W4</f>
        <v>2728.3</v>
      </c>
      <c r="Y4" s="60">
        <f>ROUND(AnnualFactorsHigh!F5*X4,1)</f>
        <v>169.2</v>
      </c>
      <c r="Z4" s="34">
        <f>X4-Y4</f>
        <v>2559.1000000000004</v>
      </c>
      <c r="AB4" s="95">
        <f>AnnualFactorsHigh!C5</f>
        <v>0.7815706464174125</v>
      </c>
      <c r="AC4" s="34">
        <f>ROUND((Z4/AB4),1)</f>
        <v>3274.3</v>
      </c>
      <c r="AD4" s="8">
        <f>AnnualFactorsHigh!D5</f>
        <v>0.3263894220680544</v>
      </c>
      <c r="AE4" s="34">
        <f>ROUND(AC4*AD4,1)</f>
        <v>1068.7</v>
      </c>
      <c r="AF4" s="8">
        <f>AnnualFactorsHigh!E5</f>
        <v>0.12973756118956647</v>
      </c>
      <c r="AG4">
        <f>ROUND(AC4*AF4,1)</f>
        <v>424.8</v>
      </c>
      <c r="AH4" s="34">
        <f>AC4+AE4+AG4</f>
        <v>4767.8</v>
      </c>
      <c r="AI4">
        <f>ROUND(AnnualFactorsHigh!H5*AH4,1)</f>
        <v>95.8</v>
      </c>
      <c r="AJ4" s="34">
        <f>AH4-AI4</f>
        <v>4672</v>
      </c>
      <c r="AK4" s="9">
        <f>AnnualFactorsHigh!I5</f>
        <v>2.607</v>
      </c>
      <c r="AL4" s="34">
        <f>ROUND(AJ4/AK4,1)</f>
        <v>1792.1</v>
      </c>
      <c r="AN4" s="96">
        <f>ROUND(4544.9/AH$2*AH4,1)</f>
        <v>4596.7</v>
      </c>
      <c r="AO4" s="96">
        <f>ROUND(91.5/AI$2*AI4,1)</f>
        <v>92.5</v>
      </c>
      <c r="AP4" s="96">
        <f>AN4-AO4</f>
        <v>4504.2</v>
      </c>
      <c r="AQ4" s="34">
        <f>AP4/AK4</f>
        <v>1727.7330264672034</v>
      </c>
      <c r="AS4" s="60">
        <f t="shared" si="0"/>
        <v>1030.3480200511765</v>
      </c>
      <c r="AT4" s="60">
        <f t="shared" si="1"/>
        <v>3156.796595914258</v>
      </c>
      <c r="AU4" s="60">
        <f t="shared" si="2"/>
        <v>409.5553840345652</v>
      </c>
      <c r="AV4" s="115">
        <f t="shared" si="3"/>
        <v>0.062016640398783116</v>
      </c>
    </row>
    <row r="5" spans="1:48" ht="12.75">
      <c r="A5">
        <v>2003</v>
      </c>
      <c r="B5" s="34">
        <f>SectorParameters!E$18+(SectorParameters!E$19*LN(A5))+SectorParameters!E$20*LN(NationalDataHigh!C47)</f>
        <v>68.07823774653127</v>
      </c>
      <c r="C5" s="34">
        <f>SectorParameters!E$11+(SectorParameters!E$12*NationalDataHigh!E47+SectorParameters!E$13*B5)</f>
        <v>113.67742619312347</v>
      </c>
      <c r="D5" s="34">
        <f>EXP(SectorParameters!B$11+SectorParameters!B$12*LN(NationalDataHigh!D47))</f>
        <v>157.72518418730783</v>
      </c>
      <c r="E5" s="34">
        <f>SectorParameters!H$3+(SectorParameters!H$4*NationalDataHigh!H47+SectorParameters!H$5*D4)</f>
        <v>152.1819121979049</v>
      </c>
      <c r="F5" s="34">
        <f>SectorParameters!H$11+SectorParameters!H$12*NationalDataHigh!L47</f>
        <v>67.01369020752026</v>
      </c>
      <c r="G5" s="34">
        <f>SectorParameters!B$3+SectorParameters!B$4*NationalDataHigh!F47</f>
        <v>405.9423714797291</v>
      </c>
      <c r="H5" s="34">
        <f>EXP(SectorParameters!E$3+SectorParameters!E$4*LN(G4)+SectorParameters!E$5*LN(NationalDataHigh!G47))</f>
        <v>87.5288633976631</v>
      </c>
      <c r="I5" s="34">
        <f>SectorParameters!H$18+(SectorParameters!H$19*NationalDataHigh!K47+SectorParameters!H$20*AH4)</f>
        <v>179.9080882629636</v>
      </c>
      <c r="J5" s="34">
        <f>SectorParameters!B$26+SectorParameters!B$27*NationalDataHigh!J47</f>
        <v>332.6545343986888</v>
      </c>
      <c r="K5" s="34">
        <f>SectorParameters!E$26+SectorParameters!E$27*NationalDataHigh!M47</f>
        <v>569.9802996300773</v>
      </c>
      <c r="L5" s="34">
        <f>SectorParameters!B$18+SectorParameters!B$19*NationalDataHigh!N47</f>
        <v>266.63450384550674</v>
      </c>
      <c r="N5" s="34">
        <f aca="true" t="shared" si="4" ref="N5:N32">ROUND(SUM(B5:L5),1)</f>
        <v>2401.3</v>
      </c>
      <c r="O5" s="34"/>
      <c r="P5">
        <f>AnnualFactorsHigh!J6</f>
        <v>333.653</v>
      </c>
      <c r="Q5" s="34">
        <f aca="true" t="shared" si="5" ref="Q5:Q32">ROUND((N5+P5),1)</f>
        <v>2735</v>
      </c>
      <c r="R5" s="34">
        <f>ROUND((AnnualFactorsHigh!G6*Q5),1)</f>
        <v>164.1</v>
      </c>
      <c r="S5" s="34">
        <f aca="true" t="shared" si="6" ref="S5:S32">Q5+R5</f>
        <v>2899.1</v>
      </c>
      <c r="T5" s="34">
        <f>ROUND(AnnualFactorsHigh!K6,1)</f>
        <v>79.9</v>
      </c>
      <c r="U5" s="34">
        <f aca="true" t="shared" si="7" ref="U5:U32">S5+T5</f>
        <v>2979</v>
      </c>
      <c r="V5" s="34"/>
      <c r="W5" s="34">
        <f>ROUND(AnnualFactorsHigh!B6*U5,1)</f>
        <v>178.7</v>
      </c>
      <c r="X5" s="34">
        <f aca="true" t="shared" si="8" ref="X5:X32">U5-W5</f>
        <v>2800.3</v>
      </c>
      <c r="Y5" s="60">
        <f>ROUND(AnnualFactorsHigh!F6*X5,1)</f>
        <v>174.8</v>
      </c>
      <c r="Z5" s="34">
        <f aca="true" t="shared" si="9" ref="Z5:Z32">X5-Y5</f>
        <v>2625.5</v>
      </c>
      <c r="AB5" s="95">
        <f>AnnualFactorsHigh!C6</f>
        <v>0.7800106526447179</v>
      </c>
      <c r="AC5" s="34">
        <f aca="true" t="shared" si="10" ref="AC5:AC32">ROUND((Z5/AB5),1)</f>
        <v>3366</v>
      </c>
      <c r="AD5" s="8">
        <f>AnnualFactorsHigh!D6</f>
        <v>0.3243137583693869</v>
      </c>
      <c r="AE5" s="34">
        <f aca="true" t="shared" si="11" ref="AE5:AE32">ROUND(AC5*AD5,1)</f>
        <v>1091.6</v>
      </c>
      <c r="AF5" s="8">
        <f>AnnualFactorsHigh!E6</f>
        <v>0.12936550335144104</v>
      </c>
      <c r="AG5">
        <f aca="true" t="shared" si="12" ref="AG5:AG32">ROUND(AC5*AF5,1)</f>
        <v>435.4</v>
      </c>
      <c r="AH5" s="34">
        <f aca="true" t="shared" si="13" ref="AH5:AH32">AC5+AE5+AG5</f>
        <v>4893</v>
      </c>
      <c r="AI5">
        <f>ROUND(AnnualFactorsHigh!H6*AH5,1)</f>
        <v>98.3</v>
      </c>
      <c r="AJ5" s="34">
        <f aca="true" t="shared" si="14" ref="AJ5:AJ32">AH5-AI5</f>
        <v>4794.7</v>
      </c>
      <c r="AK5" s="9">
        <f>AnnualFactorsHigh!I6</f>
        <v>2.607</v>
      </c>
      <c r="AL5" s="34">
        <f aca="true" t="shared" si="15" ref="AL5:AL32">ROUND(AJ5/AK5,1)</f>
        <v>1839.2</v>
      </c>
      <c r="AN5" s="96">
        <f aca="true" t="shared" si="16" ref="AN5:AN32">ROUND(4544.9/AH$2*AH5,1)</f>
        <v>4717.4</v>
      </c>
      <c r="AO5" s="96">
        <f aca="true" t="shared" si="17" ref="AO5:AO32">ROUND(91.5/AI$2*AI5,1)</f>
        <v>94.9</v>
      </c>
      <c r="AP5" s="96">
        <f aca="true" t="shared" si="18" ref="AP5:AP32">AN5-AO5</f>
        <v>4622.5</v>
      </c>
      <c r="AQ5" s="34">
        <f aca="true" t="shared" si="19" ref="AQ5:AQ32">AP5/AK5</f>
        <v>1773.1108553893362</v>
      </c>
      <c r="AS5" s="60">
        <f t="shared" si="0"/>
        <v>1052.4246556304925</v>
      </c>
      <c r="AT5" s="60">
        <f t="shared" si="1"/>
        <v>3245.200980993255</v>
      </c>
      <c r="AU5" s="60">
        <f t="shared" si="2"/>
        <v>419.77436337625176</v>
      </c>
      <c r="AV5" s="115">
        <f t="shared" si="3"/>
        <v>0.06242188336963897</v>
      </c>
    </row>
    <row r="6" spans="1:48" ht="12.75">
      <c r="A6">
        <v>2004</v>
      </c>
      <c r="B6" s="34">
        <f>SectorParameters!E$18+(SectorParameters!E$19*LN(A6))+SectorParameters!E$20*LN(NationalDataHigh!C48)</f>
        <v>67.9290703620452</v>
      </c>
      <c r="C6" s="34">
        <f>SectorParameters!E$11+(SectorParameters!E$12*NationalDataHigh!E48+SectorParameters!E$13*B6)</f>
        <v>117.01447469683612</v>
      </c>
      <c r="D6" s="34">
        <f>EXP(SectorParameters!B$11+SectorParameters!B$12*LN(NationalDataHigh!D48))</f>
        <v>161.69274941961382</v>
      </c>
      <c r="E6" s="34">
        <f>SectorParameters!H$3+(SectorParameters!H$4*NationalDataHigh!H48+SectorParameters!H$5*D5)</f>
        <v>154.44469362279838</v>
      </c>
      <c r="F6" s="34">
        <f>SectorParameters!H$11+SectorParameters!H$12*NationalDataHigh!L48</f>
        <v>67.9159319198304</v>
      </c>
      <c r="G6" s="34">
        <f>SectorParameters!B$3+SectorParameters!B$4*NationalDataHigh!F48</f>
        <v>413.52224568192366</v>
      </c>
      <c r="H6" s="34">
        <f>EXP(SectorParameters!E$3+SectorParameters!E$4*LN(G5)+SectorParameters!E$5*LN(NationalDataHigh!G48))</f>
        <v>89.96662914626775</v>
      </c>
      <c r="I6" s="34">
        <f>SectorParameters!H$18+(SectorParameters!H$19*NationalDataHigh!K48+SectorParameters!H$20*AH5)</f>
        <v>188.29078223727083</v>
      </c>
      <c r="J6" s="34">
        <f>SectorParameters!B$26+SectorParameters!B$27*NationalDataHigh!J48</f>
        <v>353.2855089849139</v>
      </c>
      <c r="K6" s="34">
        <f>SectorParameters!E$26+SectorParameters!E$27*NationalDataHigh!M48</f>
        <v>588.1206619607908</v>
      </c>
      <c r="L6" s="34">
        <f>SectorParameters!B$18+SectorParameters!B$19*NationalDataHigh!N48</f>
        <v>269.4618674738366</v>
      </c>
      <c r="N6" s="34">
        <f t="shared" si="4"/>
        <v>2471.6</v>
      </c>
      <c r="O6" s="34"/>
      <c r="P6">
        <f>AnnualFactorsHigh!J7</f>
        <v>333.595</v>
      </c>
      <c r="Q6" s="34">
        <f t="shared" si="5"/>
        <v>2805.2</v>
      </c>
      <c r="R6" s="34">
        <f>ROUND((AnnualFactorsHigh!G7*Q6),1)</f>
        <v>168.3</v>
      </c>
      <c r="S6" s="34">
        <f t="shared" si="6"/>
        <v>2973.5</v>
      </c>
      <c r="T6" s="34">
        <f>ROUND(AnnualFactorsHigh!K7,1)</f>
        <v>80.2</v>
      </c>
      <c r="U6" s="34">
        <f t="shared" si="7"/>
        <v>3053.7</v>
      </c>
      <c r="V6" s="34"/>
      <c r="W6" s="34">
        <f>ROUND(AnnualFactorsHigh!B7*U6,1)</f>
        <v>183.2</v>
      </c>
      <c r="X6" s="34">
        <f t="shared" si="8"/>
        <v>2870.5</v>
      </c>
      <c r="Y6" s="60">
        <f>ROUND(AnnualFactorsHigh!F7*X6,1)</f>
        <v>180.4</v>
      </c>
      <c r="Z6" s="34">
        <f t="shared" si="9"/>
        <v>2690.1</v>
      </c>
      <c r="AB6" s="95">
        <f>AnnualFactorsHigh!C7</f>
        <v>0.778453772577204</v>
      </c>
      <c r="AC6" s="34">
        <f t="shared" si="10"/>
        <v>3455.7</v>
      </c>
      <c r="AD6" s="8">
        <f>AnnualFactorsHigh!D7</f>
        <v>0.32225129479149134</v>
      </c>
      <c r="AE6" s="34">
        <f t="shared" si="11"/>
        <v>1113.6</v>
      </c>
      <c r="AF6" s="8">
        <f>AnnualFactorsHigh!E7</f>
        <v>0.12899451249063226</v>
      </c>
      <c r="AG6">
        <f t="shared" si="12"/>
        <v>445.8</v>
      </c>
      <c r="AH6" s="34">
        <f t="shared" si="13"/>
        <v>5015.099999999999</v>
      </c>
      <c r="AI6">
        <f>ROUND(AnnualFactorsHigh!H7*AH6,1)</f>
        <v>100.8</v>
      </c>
      <c r="AJ6" s="34">
        <f t="shared" si="14"/>
        <v>4914.299999999999</v>
      </c>
      <c r="AK6" s="9">
        <f>AnnualFactorsHigh!I7</f>
        <v>2.607</v>
      </c>
      <c r="AL6" s="34">
        <f t="shared" si="15"/>
        <v>1885</v>
      </c>
      <c r="AN6" s="96">
        <f t="shared" si="16"/>
        <v>4835.1</v>
      </c>
      <c r="AO6" s="96">
        <f t="shared" si="17"/>
        <v>97.3</v>
      </c>
      <c r="AP6" s="96">
        <f t="shared" si="18"/>
        <v>4737.8</v>
      </c>
      <c r="AQ6" s="34">
        <f t="shared" si="19"/>
        <v>1817.337936325278</v>
      </c>
      <c r="AS6" s="60">
        <f t="shared" si="0"/>
        <v>1073.6311060596997</v>
      </c>
      <c r="AT6" s="60">
        <f t="shared" si="1"/>
        <v>3331.6693724950655</v>
      </c>
      <c r="AU6" s="60">
        <f t="shared" si="2"/>
        <v>429.7995214452355</v>
      </c>
      <c r="AV6" s="115">
        <f t="shared" si="3"/>
        <v>0.06284619404284968</v>
      </c>
    </row>
    <row r="7" spans="1:48" s="98" customFormat="1" ht="12.75">
      <c r="A7" s="98">
        <v>2005</v>
      </c>
      <c r="B7" s="100">
        <f>SectorParameters!E$18+(SectorParameters!E$19*LN(A7))+SectorParameters!E$20*LN(NationalDataHigh!C49)</f>
        <v>67.8080017241831</v>
      </c>
      <c r="C7" s="100">
        <f>SectorParameters!E$11+(SectorParameters!E$12*NationalDataHigh!E49+SectorParameters!E$13*B7)</f>
        <v>120.68630127104754</v>
      </c>
      <c r="D7" s="100">
        <f>EXP(SectorParameters!B$11+SectorParameters!B$12*LN(NationalDataHigh!D49))</f>
        <v>165.89020489759895</v>
      </c>
      <c r="E7" s="100">
        <f>SectorParameters!H$3+(SectorParameters!H$4*NationalDataHigh!H49+SectorParameters!H$5*D6)</f>
        <v>156.6354853336964</v>
      </c>
      <c r="F7" s="100">
        <f>SectorParameters!H$11+SectorParameters!H$12*NationalDataHigh!L49</f>
        <v>68.81195127550392</v>
      </c>
      <c r="G7" s="100">
        <f>SectorParameters!B$3+SectorParameters!B$4*NationalDataHigh!F49</f>
        <v>421.46703359048905</v>
      </c>
      <c r="H7" s="100">
        <f>EXP(SectorParameters!E$3+SectorParameters!E$4*LN(G6)+SectorParameters!E$5*LN(NationalDataHigh!G49))</f>
        <v>92.24294127313765</v>
      </c>
      <c r="I7" s="100">
        <f>SectorParameters!H$18+(SectorParameters!H$19*NationalDataHigh!K49+SectorParameters!H$20*AH6)</f>
        <v>196.4591317726588</v>
      </c>
      <c r="J7" s="100">
        <f>SectorParameters!B$26+SectorParameters!B$27*NationalDataHigh!J49</f>
        <v>375.01050331418685</v>
      </c>
      <c r="K7" s="100">
        <f>SectorParameters!E$26+SectorParameters!E$27*NationalDataHigh!M49</f>
        <v>607.2740859082056</v>
      </c>
      <c r="L7" s="100">
        <f>SectorParameters!B$18+SectorParameters!B$19*NationalDataHigh!N49</f>
        <v>272.36981779495466</v>
      </c>
      <c r="N7" s="100">
        <f t="shared" si="4"/>
        <v>2544.7</v>
      </c>
      <c r="O7" s="100"/>
      <c r="P7" s="98">
        <f>AnnualFactorsHigh!J8</f>
        <v>333.311</v>
      </c>
      <c r="Q7" s="100">
        <f t="shared" si="5"/>
        <v>2878</v>
      </c>
      <c r="R7" s="100">
        <f>ROUND((AnnualFactorsHigh!G8*Q7),1)</f>
        <v>172.7</v>
      </c>
      <c r="S7" s="100">
        <f t="shared" si="6"/>
        <v>3050.7</v>
      </c>
      <c r="T7" s="100">
        <f>ROUND(AnnualFactorsHigh!K8,1)</f>
        <v>80.6</v>
      </c>
      <c r="U7" s="100">
        <f t="shared" si="7"/>
        <v>3131.2999999999997</v>
      </c>
      <c r="V7" s="100"/>
      <c r="W7" s="100">
        <f>ROUND(AnnualFactorsHigh!B8*U7,1)</f>
        <v>187.9</v>
      </c>
      <c r="X7" s="100">
        <f t="shared" si="8"/>
        <v>2943.3999999999996</v>
      </c>
      <c r="Y7" s="100">
        <f>ROUND(AnnualFactorsHigh!F8*X7,1)</f>
        <v>186.2</v>
      </c>
      <c r="Z7" s="100">
        <f t="shared" si="9"/>
        <v>2757.2</v>
      </c>
      <c r="AB7" s="101">
        <f>AnnualFactorsHigh!C8</f>
        <v>0.7769</v>
      </c>
      <c r="AC7" s="100">
        <f t="shared" si="10"/>
        <v>3549</v>
      </c>
      <c r="AD7" s="102">
        <f>AnnualFactorsHigh!D8</f>
        <v>0.3202019473885973</v>
      </c>
      <c r="AE7" s="100">
        <f t="shared" si="11"/>
        <v>1136.4</v>
      </c>
      <c r="AF7" s="102">
        <f>AnnualFactorsHigh!E8</f>
        <v>0.12862458554729173</v>
      </c>
      <c r="AG7" s="98">
        <f t="shared" si="12"/>
        <v>456.5</v>
      </c>
      <c r="AH7" s="100">
        <f t="shared" si="13"/>
        <v>5141.9</v>
      </c>
      <c r="AI7" s="98">
        <f>ROUND(AnnualFactorsHigh!H8*AH7,1)</f>
        <v>103.4</v>
      </c>
      <c r="AJ7" s="100">
        <f t="shared" si="14"/>
        <v>5038.5</v>
      </c>
      <c r="AK7" s="103">
        <f>AnnualFactorsHigh!I8</f>
        <v>2.63</v>
      </c>
      <c r="AL7" s="100">
        <f t="shared" si="15"/>
        <v>1915.8</v>
      </c>
      <c r="AN7" s="104">
        <f t="shared" si="16"/>
        <v>4957.3</v>
      </c>
      <c r="AO7" s="104">
        <f t="shared" si="17"/>
        <v>99.8</v>
      </c>
      <c r="AP7" s="104">
        <f t="shared" si="18"/>
        <v>4857.5</v>
      </c>
      <c r="AQ7" s="100">
        <f t="shared" si="19"/>
        <v>1846.958174904943</v>
      </c>
      <c r="AS7" s="100">
        <f t="shared" si="0"/>
        <v>1095.6019603648458</v>
      </c>
      <c r="AT7" s="100">
        <f t="shared" si="1"/>
        <v>3421.5869036737395</v>
      </c>
      <c r="AU7" s="100">
        <f t="shared" si="2"/>
        <v>440.1111359614151</v>
      </c>
      <c r="AV7" s="115">
        <f t="shared" si="3"/>
        <v>0.06326017530746755</v>
      </c>
    </row>
    <row r="8" spans="1:48" ht="12.75">
      <c r="A8">
        <v>2006</v>
      </c>
      <c r="B8" s="34">
        <f>SectorParameters!E$18+(SectorParameters!E$19*LN(A8))+SectorParameters!E$20*LN(NationalDataHigh!C50)</f>
        <v>67.72442909278129</v>
      </c>
      <c r="C8" s="34">
        <f>SectorParameters!E$11+(SectorParameters!E$12*NationalDataHigh!E50+SectorParameters!E$13*B8)</f>
        <v>124.47157965235456</v>
      </c>
      <c r="D8" s="34">
        <f>EXP(SectorParameters!B$11+SectorParameters!B$12*LN(NationalDataHigh!D50))</f>
        <v>170.20464311759332</v>
      </c>
      <c r="E8" s="34">
        <f>SectorParameters!H$3+(SectorParameters!H$4*NationalDataHigh!H50+SectorParameters!H$5*D7)</f>
        <v>158.90694644984788</v>
      </c>
      <c r="F8" s="34">
        <f>SectorParameters!H$11+SectorParameters!H$12*NationalDataHigh!L50</f>
        <v>69.70174827454082</v>
      </c>
      <c r="G8" s="34">
        <f>SectorParameters!B$3+SectorParameters!B$4*NationalDataHigh!F50</f>
        <v>429.6267706685605</v>
      </c>
      <c r="H8" s="34">
        <f>EXP(SectorParameters!E$3+SectorParameters!E$4*LN(G7)+SectorParameters!E$5*LN(NationalDataHigh!G50))</f>
        <v>94.61476216978281</v>
      </c>
      <c r="I8" s="34">
        <f>SectorParameters!H$18+(SectorParameters!H$19*NationalDataHigh!K50+SectorParameters!H$20*AH7)</f>
        <v>204.783467519061</v>
      </c>
      <c r="J8" s="34">
        <f>SectorParameters!B$26+SectorParameters!B$27*NationalDataHigh!J50</f>
        <v>397.9010016310817</v>
      </c>
      <c r="K8" s="34">
        <f>SectorParameters!E$26+SectorParameters!E$27*NationalDataHigh!M50</f>
        <v>627.5061653899496</v>
      </c>
      <c r="L8" s="34">
        <f>SectorParameters!B$18+SectorParameters!B$19*NationalDataHigh!N50</f>
        <v>275.36791594190345</v>
      </c>
      <c r="N8" s="34">
        <f t="shared" si="4"/>
        <v>2620.8</v>
      </c>
      <c r="O8" s="34"/>
      <c r="P8">
        <f>AnnualFactorsHigh!J9</f>
        <v>333.08099999999996</v>
      </c>
      <c r="Q8" s="34">
        <f t="shared" si="5"/>
        <v>2953.9</v>
      </c>
      <c r="R8" s="34">
        <f>ROUND((AnnualFactorsHigh!G9*Q8),1)</f>
        <v>177.2</v>
      </c>
      <c r="S8" s="34">
        <f t="shared" si="6"/>
        <v>3131.1</v>
      </c>
      <c r="T8" s="34">
        <f>ROUND(AnnualFactorsHigh!K9,1)</f>
        <v>80.9</v>
      </c>
      <c r="U8" s="34">
        <f t="shared" si="7"/>
        <v>3212</v>
      </c>
      <c r="V8" s="34"/>
      <c r="W8" s="34">
        <f>ROUND(AnnualFactorsHigh!B9*U8,1)</f>
        <v>192.7</v>
      </c>
      <c r="X8" s="34">
        <f t="shared" si="8"/>
        <v>3019.3</v>
      </c>
      <c r="Y8" s="60">
        <f>ROUND(AnnualFactorsHigh!F9*X8,1)</f>
        <v>192.2</v>
      </c>
      <c r="Z8" s="34">
        <f t="shared" si="9"/>
        <v>2827.1000000000004</v>
      </c>
      <c r="AB8" s="95">
        <f>AnnualFactorsHigh!C9</f>
        <v>0.7793050630387401</v>
      </c>
      <c r="AC8" s="34">
        <f t="shared" si="10"/>
        <v>3627.7</v>
      </c>
      <c r="AD8" s="8">
        <f>AnnualFactorsHigh!D9</f>
        <v>0.3191415207202758</v>
      </c>
      <c r="AE8" s="34">
        <f t="shared" si="11"/>
        <v>1157.7</v>
      </c>
      <c r="AF8" s="8">
        <f>AnnualFactorsHigh!E9</f>
        <v>0.1297373276218078</v>
      </c>
      <c r="AG8">
        <f t="shared" si="12"/>
        <v>470.6</v>
      </c>
      <c r="AH8" s="34">
        <f t="shared" si="13"/>
        <v>5256</v>
      </c>
      <c r="AI8">
        <f>ROUND(AnnualFactorsHigh!H9*AH8,1)</f>
        <v>105.4</v>
      </c>
      <c r="AJ8" s="34">
        <f t="shared" si="14"/>
        <v>5150.6</v>
      </c>
      <c r="AK8" s="9">
        <f>AnnualFactorsHigh!I9</f>
        <v>2.63</v>
      </c>
      <c r="AL8" s="34">
        <f t="shared" si="15"/>
        <v>1958.4</v>
      </c>
      <c r="AN8" s="96">
        <f t="shared" si="16"/>
        <v>5067.3</v>
      </c>
      <c r="AO8" s="96">
        <f t="shared" si="17"/>
        <v>101.7</v>
      </c>
      <c r="AP8" s="96">
        <f t="shared" si="18"/>
        <v>4965.6</v>
      </c>
      <c r="AQ8" s="34">
        <f t="shared" si="19"/>
        <v>1888.0608365019013</v>
      </c>
      <c r="AS8" s="60">
        <f t="shared" si="0"/>
        <v>1116.136455479452</v>
      </c>
      <c r="AT8" s="60">
        <f t="shared" si="1"/>
        <v>3497.458944063927</v>
      </c>
      <c r="AU8" s="60">
        <f t="shared" si="2"/>
        <v>453.704600456621</v>
      </c>
      <c r="AV8" s="115">
        <f t="shared" si="3"/>
        <v>0.06365713907197032</v>
      </c>
    </row>
    <row r="9" spans="1:48" ht="12.75">
      <c r="A9">
        <v>2007</v>
      </c>
      <c r="B9" s="34">
        <f>SectorParameters!E$18+(SectorParameters!E$19*LN(A9))+SectorParameters!E$20*LN(NationalDataHigh!C51)</f>
        <v>67.66831281675502</v>
      </c>
      <c r="C9" s="34">
        <f>SectorParameters!E$11+(SectorParameters!E$12*NationalDataHigh!E51+SectorParameters!E$13*B9)</f>
        <v>128.3604656192372</v>
      </c>
      <c r="D9" s="34">
        <f>EXP(SectorParameters!B$11+SectorParameters!B$12*LN(NationalDataHigh!D51))</f>
        <v>174.63707120381005</v>
      </c>
      <c r="E9" s="34">
        <f>SectorParameters!H$3+(SectorParameters!H$4*NationalDataHigh!H51+SectorParameters!H$5*D8)</f>
        <v>161.2353388562643</v>
      </c>
      <c r="F9" s="34">
        <f>SectorParameters!H$11+SectorParameters!H$12*NationalDataHigh!L51</f>
        <v>70.5853229169411</v>
      </c>
      <c r="G9" s="34">
        <f>SectorParameters!B$3+SectorParameters!B$4*NationalDataHigh!F51</f>
        <v>437.99812437087434</v>
      </c>
      <c r="H9" s="34">
        <f>EXP(SectorParameters!E$3+SectorParameters!E$4*LN(G8)+SectorParameters!E$5*LN(NationalDataHigh!G51))</f>
        <v>97.0596183333114</v>
      </c>
      <c r="I9" s="34">
        <f>SectorParameters!H$18+(SectorParameters!H$19*NationalDataHigh!K51+SectorParameters!H$20*AH8)</f>
        <v>212.47297999775674</v>
      </c>
      <c r="J9" s="34">
        <f>SectorParameters!B$26+SectorParameters!B$27*NationalDataHigh!J51</f>
        <v>422.01605613763803</v>
      </c>
      <c r="K9" s="34">
        <f>SectorParameters!E$26+SectorParameters!E$27*NationalDataHigh!M51</f>
        <v>648.7695270210693</v>
      </c>
      <c r="L9" s="34">
        <f>SectorParameters!B$18+SectorParameters!B$19*NationalDataHigh!N51</f>
        <v>278.45206428623624</v>
      </c>
      <c r="N9" s="34">
        <f t="shared" si="4"/>
        <v>2699.3</v>
      </c>
      <c r="O9" s="34"/>
      <c r="P9">
        <f>AnnualFactorsHigh!J10</f>
        <v>332.88699999999994</v>
      </c>
      <c r="Q9" s="34">
        <f t="shared" si="5"/>
        <v>3032.2</v>
      </c>
      <c r="R9" s="34">
        <f>ROUND((AnnualFactorsHigh!G10*Q9),1)</f>
        <v>181.9</v>
      </c>
      <c r="S9" s="34">
        <f t="shared" si="6"/>
        <v>3214.1</v>
      </c>
      <c r="T9" s="34">
        <f>ROUND(AnnualFactorsHigh!K10,1)</f>
        <v>81.2</v>
      </c>
      <c r="U9" s="34">
        <f t="shared" si="7"/>
        <v>3295.2999999999997</v>
      </c>
      <c r="V9" s="34"/>
      <c r="W9" s="34">
        <f>ROUND(AnnualFactorsHigh!B10*U9,1)</f>
        <v>197.7</v>
      </c>
      <c r="X9" s="34">
        <f t="shared" si="8"/>
        <v>3097.6</v>
      </c>
      <c r="Y9" s="60">
        <f>ROUND(AnnualFactorsHigh!F10*X9,1)</f>
        <v>198.4</v>
      </c>
      <c r="Z9" s="34">
        <f t="shared" si="9"/>
        <v>2899.2</v>
      </c>
      <c r="AB9" s="95">
        <f>AnnualFactorsHigh!C10</f>
        <v>0.7817175714735677</v>
      </c>
      <c r="AC9" s="34">
        <f t="shared" si="10"/>
        <v>3708.8</v>
      </c>
      <c r="AD9" s="8">
        <f>AnnualFactorsHigh!D10</f>
        <v>0.31808460591291593</v>
      </c>
      <c r="AE9" s="34">
        <f t="shared" si="11"/>
        <v>1179.7</v>
      </c>
      <c r="AF9" s="8">
        <f>AnnualFactorsHigh!E10</f>
        <v>0.130859696121312</v>
      </c>
      <c r="AG9">
        <f t="shared" si="12"/>
        <v>485.3</v>
      </c>
      <c r="AH9" s="34">
        <f t="shared" si="13"/>
        <v>5373.8</v>
      </c>
      <c r="AI9">
        <f>ROUND(AnnualFactorsHigh!H10*AH9,1)</f>
        <v>107.6</v>
      </c>
      <c r="AJ9" s="34">
        <f t="shared" si="14"/>
        <v>5266.2</v>
      </c>
      <c r="AK9" s="9">
        <f>AnnualFactorsHigh!I10</f>
        <v>2.63</v>
      </c>
      <c r="AL9" s="34">
        <f t="shared" si="15"/>
        <v>2002.4</v>
      </c>
      <c r="AN9" s="96">
        <f t="shared" si="16"/>
        <v>5180.9</v>
      </c>
      <c r="AO9" s="96">
        <f t="shared" si="17"/>
        <v>103.9</v>
      </c>
      <c r="AP9" s="96">
        <f t="shared" si="18"/>
        <v>5077</v>
      </c>
      <c r="AQ9" s="34">
        <f t="shared" si="19"/>
        <v>1930.4182509505704</v>
      </c>
      <c r="AS9" s="60">
        <f t="shared" si="0"/>
        <v>1137.3530332353268</v>
      </c>
      <c r="AT9" s="60">
        <f t="shared" si="1"/>
        <v>3575.6674829729423</v>
      </c>
      <c r="AU9" s="60">
        <f t="shared" si="2"/>
        <v>467.8794837917302</v>
      </c>
      <c r="AV9" s="115">
        <f t="shared" si="3"/>
        <v>0.06404958677685951</v>
      </c>
    </row>
    <row r="10" spans="1:48" ht="12.75">
      <c r="A10">
        <v>2008</v>
      </c>
      <c r="B10" s="34">
        <f>SectorParameters!E$18+(SectorParameters!E$19*LN(A10))+SectorParameters!E$20*LN(NationalDataHigh!C52)</f>
        <v>67.6297401666078</v>
      </c>
      <c r="C10" s="34">
        <f>SectorParameters!E$11+(SectorParameters!E$12*NationalDataHigh!E52+SectorParameters!E$13*B10)</f>
        <v>132.34664005320977</v>
      </c>
      <c r="D10" s="34">
        <f>EXP(SectorParameters!B$11+SectorParameters!B$12*LN(NationalDataHigh!D52))</f>
        <v>179.17975540419673</v>
      </c>
      <c r="E10" s="34">
        <f>SectorParameters!H$3+(SectorParameters!H$4*NationalDataHigh!H52+SectorParameters!H$5*D9)</f>
        <v>163.6191168212979</v>
      </c>
      <c r="F10" s="34">
        <f>SectorParameters!H$11+SectorParameters!H$12*NationalDataHigh!L52</f>
        <v>71.46474932158362</v>
      </c>
      <c r="G10" s="34">
        <f>SectorParameters!B$3+SectorParameters!B$4*NationalDataHigh!F52</f>
        <v>446.57276333427143</v>
      </c>
      <c r="H10" s="34">
        <f>EXP(SectorParameters!E$3+SectorParameters!E$4*LN(G9)+SectorParameters!E$5*LN(NationalDataHigh!G52))</f>
        <v>99.57767075889109</v>
      </c>
      <c r="I10" s="34">
        <f>SectorParameters!H$18+(SectorParameters!H$19*NationalDataHigh!K52+SectorParameters!H$20*AH9)</f>
        <v>220.28392910723335</v>
      </c>
      <c r="J10" s="34">
        <f>SectorParameters!B$26+SectorParameters!B$27*NationalDataHigh!J52</f>
        <v>447.39607097209336</v>
      </c>
      <c r="K10" s="34">
        <f>SectorParameters!E$26+SectorParameters!E$27*NationalDataHigh!M52</f>
        <v>671.0240856296806</v>
      </c>
      <c r="L10" s="34">
        <f>SectorParameters!B$18+SectorParameters!B$19*NationalDataHigh!N52</f>
        <v>281.61406757105925</v>
      </c>
      <c r="N10" s="34">
        <f t="shared" si="4"/>
        <v>2780.7</v>
      </c>
      <c r="O10" s="34"/>
      <c r="P10">
        <f>AnnualFactorsHigh!J11</f>
        <v>332.715</v>
      </c>
      <c r="Q10" s="34">
        <f t="shared" si="5"/>
        <v>3113.4</v>
      </c>
      <c r="R10" s="34">
        <f>ROUND((AnnualFactorsHigh!G11*Q10),1)</f>
        <v>186.8</v>
      </c>
      <c r="S10" s="34">
        <f t="shared" si="6"/>
        <v>3300.2000000000003</v>
      </c>
      <c r="T10" s="34">
        <f>ROUND(AnnualFactorsHigh!K11,1)</f>
        <v>81.5</v>
      </c>
      <c r="U10" s="34">
        <f t="shared" si="7"/>
        <v>3381.7000000000003</v>
      </c>
      <c r="V10" s="34"/>
      <c r="W10" s="34">
        <f>ROUND(AnnualFactorsHigh!B11*U10,1)</f>
        <v>202.9</v>
      </c>
      <c r="X10" s="34">
        <f t="shared" si="8"/>
        <v>3178.8</v>
      </c>
      <c r="Y10" s="60">
        <f>ROUND(AnnualFactorsHigh!F11*X10,1)</f>
        <v>204.9</v>
      </c>
      <c r="Z10" s="34">
        <f t="shared" si="9"/>
        <v>2973.9</v>
      </c>
      <c r="AB10" s="95">
        <f>AnnualFactorsHigh!C11</f>
        <v>0.7841375483533267</v>
      </c>
      <c r="AC10" s="34">
        <f t="shared" si="10"/>
        <v>3792.6</v>
      </c>
      <c r="AD10" s="8">
        <f>AnnualFactorsHigh!D11</f>
        <v>0.3170311913361356</v>
      </c>
      <c r="AE10" s="34">
        <f t="shared" si="11"/>
        <v>1202.4</v>
      </c>
      <c r="AF10" s="8">
        <f>AnnualFactorsHigh!E11</f>
        <v>0.13199177432481407</v>
      </c>
      <c r="AG10">
        <f t="shared" si="12"/>
        <v>500.6</v>
      </c>
      <c r="AH10" s="34">
        <f t="shared" si="13"/>
        <v>5495.6</v>
      </c>
      <c r="AI10">
        <f>ROUND(AnnualFactorsHigh!H11*AH10,1)</f>
        <v>109.8</v>
      </c>
      <c r="AJ10" s="34">
        <f t="shared" si="14"/>
        <v>5385.8</v>
      </c>
      <c r="AK10" s="9">
        <f>AnnualFactorsHigh!I11</f>
        <v>2.63</v>
      </c>
      <c r="AL10" s="34">
        <f t="shared" si="15"/>
        <v>2047.8</v>
      </c>
      <c r="AN10" s="96">
        <f t="shared" si="16"/>
        <v>5298.4</v>
      </c>
      <c r="AO10" s="96">
        <f t="shared" si="17"/>
        <v>106</v>
      </c>
      <c r="AP10" s="96">
        <f t="shared" si="18"/>
        <v>5192.4</v>
      </c>
      <c r="AQ10" s="34">
        <f t="shared" si="19"/>
        <v>1974.296577946768</v>
      </c>
      <c r="AS10" s="60">
        <f t="shared" si="0"/>
        <v>1159.2539777276365</v>
      </c>
      <c r="AT10" s="60">
        <f t="shared" si="1"/>
        <v>3656.5091782516915</v>
      </c>
      <c r="AU10" s="60">
        <f t="shared" si="2"/>
        <v>482.63684402067105</v>
      </c>
      <c r="AV10" s="115">
        <f t="shared" si="3"/>
        <v>0.06445828614571536</v>
      </c>
    </row>
    <row r="11" spans="1:48" ht="12.75">
      <c r="A11">
        <v>2009</v>
      </c>
      <c r="B11" s="34">
        <f>SectorParameters!E$18+(SectorParameters!E$19*LN(A11))+SectorParameters!E$20*LN(NationalDataHigh!C53)</f>
        <v>67.60850340840557</v>
      </c>
      <c r="C11" s="34">
        <f>SectorParameters!E$11+(SectorParameters!E$12*NationalDataHigh!E53+SectorParameters!E$13*B11)</f>
        <v>136.4265263353776</v>
      </c>
      <c r="D11" s="34">
        <f>EXP(SectorParameters!B$11+SectorParameters!B$12*LN(NationalDataHigh!D53))</f>
        <v>183.83065313113067</v>
      </c>
      <c r="E11" s="34">
        <f>SectorParameters!H$3+(SectorParameters!H$4*NationalDataHigh!H53+SectorParameters!H$5*D10)</f>
        <v>166.05358276086895</v>
      </c>
      <c r="F11" s="34">
        <f>SectorParameters!H$11+SectorParameters!H$12*NationalDataHigh!L53</f>
        <v>72.33795336958953</v>
      </c>
      <c r="G11" s="34">
        <f>SectorParameters!B$3+SectorParameters!B$4*NationalDataHigh!F53</f>
        <v>455.34735501348814</v>
      </c>
      <c r="H11" s="34">
        <f>EXP(SectorParameters!E$3+SectorParameters!E$4*LN(G10)+SectorParameters!E$5*LN(NationalDataHigh!G53))</f>
        <v>102.16689297190872</v>
      </c>
      <c r="I11" s="34">
        <f>SectorParameters!H$18+(SectorParameters!H$19*NationalDataHigh!K53+SectorParameters!H$20*AH10)</f>
        <v>228.23307653764294</v>
      </c>
      <c r="J11" s="34">
        <f>SectorParameters!B$26+SectorParameters!B$27*NationalDataHigh!J53</f>
        <v>474.0938823152199</v>
      </c>
      <c r="K11" s="34">
        <f>SectorParameters!E$26+SectorParameters!E$27*NationalDataHigh!M53</f>
        <v>694.2261119373651</v>
      </c>
      <c r="L11" s="34">
        <f>SectorParameters!B$18+SectorParameters!B$19*NationalDataHigh!N53</f>
        <v>284.8511940440746</v>
      </c>
      <c r="N11" s="34">
        <f t="shared" si="4"/>
        <v>2865.2</v>
      </c>
      <c r="O11" s="34"/>
      <c r="P11">
        <f>AnnualFactorsHigh!J12</f>
        <v>332.56</v>
      </c>
      <c r="Q11" s="34">
        <f t="shared" si="5"/>
        <v>3197.8</v>
      </c>
      <c r="R11" s="34">
        <f>ROUND((AnnualFactorsHigh!G12*Q11),1)</f>
        <v>191.9</v>
      </c>
      <c r="S11" s="34">
        <f t="shared" si="6"/>
        <v>3389.7000000000003</v>
      </c>
      <c r="T11" s="34">
        <f>ROUND(AnnualFactorsHigh!K12,1)</f>
        <v>81.7</v>
      </c>
      <c r="U11" s="34">
        <f t="shared" si="7"/>
        <v>3471.4</v>
      </c>
      <c r="V11" s="34"/>
      <c r="W11" s="34">
        <f>ROUND(AnnualFactorsHigh!B12*U11,1)</f>
        <v>208.3</v>
      </c>
      <c r="X11" s="34">
        <f t="shared" si="8"/>
        <v>3263.1</v>
      </c>
      <c r="Y11" s="60">
        <f>ROUND(AnnualFactorsHigh!F12*X11,1)</f>
        <v>211.7</v>
      </c>
      <c r="Z11" s="34">
        <f t="shared" si="9"/>
        <v>3051.4</v>
      </c>
      <c r="AB11" s="95">
        <f>AnnualFactorsHigh!C12</f>
        <v>0.7865650167982139</v>
      </c>
      <c r="AC11" s="34">
        <f t="shared" si="10"/>
        <v>3879.4</v>
      </c>
      <c r="AD11" s="8">
        <f>AnnualFactorsHigh!D12</f>
        <v>0.3159812653980695</v>
      </c>
      <c r="AE11" s="34">
        <f t="shared" si="11"/>
        <v>1225.8</v>
      </c>
      <c r="AF11" s="8">
        <f>AnnualFactorsHigh!E12</f>
        <v>0.1331336462317774</v>
      </c>
      <c r="AG11">
        <f t="shared" si="12"/>
        <v>516.5</v>
      </c>
      <c r="AH11" s="34">
        <f t="shared" si="13"/>
        <v>5621.7</v>
      </c>
      <c r="AI11">
        <f>ROUND(AnnualFactorsHigh!H12*AH11,1)</f>
        <v>112.1</v>
      </c>
      <c r="AJ11" s="34">
        <f t="shared" si="14"/>
        <v>5509.599999999999</v>
      </c>
      <c r="AK11" s="9">
        <f>AnnualFactorsHigh!I12</f>
        <v>2.63</v>
      </c>
      <c r="AL11" s="34">
        <f t="shared" si="15"/>
        <v>2094.9</v>
      </c>
      <c r="AN11" s="96">
        <f t="shared" si="16"/>
        <v>5419.9</v>
      </c>
      <c r="AO11" s="96">
        <f t="shared" si="17"/>
        <v>108.2</v>
      </c>
      <c r="AP11" s="96">
        <f t="shared" si="18"/>
        <v>5311.7</v>
      </c>
      <c r="AQ11" s="34">
        <f t="shared" si="19"/>
        <v>2019.6577946768061</v>
      </c>
      <c r="AS11" s="60">
        <f t="shared" si="0"/>
        <v>1181.797929451945</v>
      </c>
      <c r="AT11" s="60">
        <f t="shared" si="1"/>
        <v>3740.1426721454363</v>
      </c>
      <c r="AU11" s="60">
        <f t="shared" si="2"/>
        <v>497.95939840261843</v>
      </c>
      <c r="AV11" s="115">
        <f t="shared" si="3"/>
        <v>0.06487695749440715</v>
      </c>
    </row>
    <row r="12" spans="1:48" s="98" customFormat="1" ht="12.75">
      <c r="A12" s="98">
        <v>2010</v>
      </c>
      <c r="B12" s="100">
        <f>SectorParameters!E$18+(SectorParameters!E$19*LN(A12))+SectorParameters!E$20*LN(NationalDataHigh!C54)</f>
        <v>67.4900560606469</v>
      </c>
      <c r="C12" s="100">
        <f>SectorParameters!E$11+(SectorParameters!E$12*NationalDataHigh!E54+SectorParameters!E$13*B12)</f>
        <v>140.4754410278199</v>
      </c>
      <c r="D12" s="100">
        <f>EXP(SectorParameters!B$11+SectorParameters!B$12*LN(NationalDataHigh!D54))</f>
        <v>188.80814330118835</v>
      </c>
      <c r="E12" s="100">
        <f>SectorParameters!H$3+(SectorParameters!H$4*NationalDataHigh!H54+SectorParameters!H$5*D11)</f>
        <v>168.73524213254734</v>
      </c>
      <c r="F12" s="100">
        <f>SectorParameters!H$11+SectorParameters!H$12*NationalDataHigh!L54</f>
        <v>73.20908329871656</v>
      </c>
      <c r="G12" s="100">
        <f>SectorParameters!B$3+SectorParameters!B$4*NationalDataHigh!F54</f>
        <v>464.7734592917503</v>
      </c>
      <c r="H12" s="100">
        <f>EXP(SectorParameters!E$3+SectorParameters!E$4*LN(G11)+SectorParameters!E$5*LN(NationalDataHigh!G54))</f>
        <v>104.87873057290317</v>
      </c>
      <c r="I12" s="100">
        <f>SectorParameters!H$18+(SectorParameters!H$19*NationalDataHigh!K54+SectorParameters!H$20*AH11)</f>
        <v>236.41770860510906</v>
      </c>
      <c r="J12" s="100">
        <f>SectorParameters!B$26+SectorParameters!B$27*NationalDataHigh!J54</f>
        <v>502.91135691050147</v>
      </c>
      <c r="K12" s="100">
        <f>SectorParameters!E$26+SectorParameters!E$27*NationalDataHigh!M54</f>
        <v>720.6859694872469</v>
      </c>
      <c r="L12" s="100">
        <f>SectorParameters!B$18+SectorParameters!B$19*NationalDataHigh!N54</f>
        <v>288.15661432453754</v>
      </c>
      <c r="N12" s="100">
        <f t="shared" si="4"/>
        <v>2956.5</v>
      </c>
      <c r="O12" s="100"/>
      <c r="P12" s="98">
        <f>AnnualFactorsHigh!J13</f>
        <v>332.41400000000004</v>
      </c>
      <c r="Q12" s="100">
        <f t="shared" si="5"/>
        <v>3288.9</v>
      </c>
      <c r="R12" s="100">
        <f>ROUND((AnnualFactorsHigh!G13*Q12),1)</f>
        <v>197.3</v>
      </c>
      <c r="S12" s="100">
        <f t="shared" si="6"/>
        <v>3486.2000000000003</v>
      </c>
      <c r="T12" s="100">
        <f>ROUND(AnnualFactorsHigh!K13,1)</f>
        <v>82</v>
      </c>
      <c r="U12" s="100">
        <f t="shared" si="7"/>
        <v>3568.2000000000003</v>
      </c>
      <c r="V12" s="100"/>
      <c r="W12" s="100">
        <f>ROUND(AnnualFactorsHigh!B13*U12,1)</f>
        <v>214.1</v>
      </c>
      <c r="X12" s="100">
        <f t="shared" si="8"/>
        <v>3354.1000000000004</v>
      </c>
      <c r="Y12" s="100">
        <f>ROUND(AnnualFactorsHigh!F13*X12,1)</f>
        <v>219</v>
      </c>
      <c r="Z12" s="100">
        <f t="shared" si="9"/>
        <v>3135.1000000000004</v>
      </c>
      <c r="AB12" s="101">
        <f>AnnualFactorsHigh!C13</f>
        <v>0.789</v>
      </c>
      <c r="AC12" s="100">
        <f t="shared" si="10"/>
        <v>3973.5</v>
      </c>
      <c r="AD12" s="102">
        <f>AnnualFactorsHigh!D13</f>
        <v>0.31493481654524136</v>
      </c>
      <c r="AE12" s="100">
        <f t="shared" si="11"/>
        <v>1251.4</v>
      </c>
      <c r="AF12" s="102">
        <f>AnnualFactorsHigh!E13</f>
        <v>0.13428539656835184</v>
      </c>
      <c r="AG12" s="98">
        <f t="shared" si="12"/>
        <v>533.6</v>
      </c>
      <c r="AH12" s="100">
        <f t="shared" si="13"/>
        <v>5758.5</v>
      </c>
      <c r="AI12" s="98">
        <f>ROUND(AnnualFactorsHigh!H13*AH12,1)</f>
        <v>114.6</v>
      </c>
      <c r="AJ12" s="100">
        <f t="shared" si="14"/>
        <v>5643.9</v>
      </c>
      <c r="AK12" s="103">
        <f>AnnualFactorsHigh!I13</f>
        <v>2.63</v>
      </c>
      <c r="AL12" s="100">
        <f t="shared" si="15"/>
        <v>2146</v>
      </c>
      <c r="AN12" s="104">
        <f t="shared" si="16"/>
        <v>5551.8</v>
      </c>
      <c r="AO12" s="104">
        <f t="shared" si="17"/>
        <v>110.6</v>
      </c>
      <c r="AP12" s="104">
        <f t="shared" si="18"/>
        <v>5441.2</v>
      </c>
      <c r="AQ12" s="100">
        <f t="shared" si="19"/>
        <v>2068.897338403042</v>
      </c>
      <c r="AS12" s="100">
        <f t="shared" si="0"/>
        <v>1206.4812920031259</v>
      </c>
      <c r="AT12" s="100">
        <f t="shared" si="1"/>
        <v>3830.8721542068247</v>
      </c>
      <c r="AU12" s="100">
        <f t="shared" si="2"/>
        <v>514.4465537900495</v>
      </c>
      <c r="AV12" s="115">
        <f t="shared" si="3"/>
        <v>0.06529322321934349</v>
      </c>
    </row>
    <row r="13" spans="1:48" ht="12.75">
      <c r="A13">
        <v>2011</v>
      </c>
      <c r="B13" s="34">
        <f>SectorParameters!E$18+(SectorParameters!E$19*LN(A13))+SectorParameters!E$20*LN(NationalDataHigh!X55)</f>
        <v>67.42738136651906</v>
      </c>
      <c r="C13" s="34">
        <f>SectorParameters!E$11+(SectorParameters!E$12*NationalDataHigh!Z55+SectorParameters!E$13*B13)</f>
        <v>143.0237990189131</v>
      </c>
      <c r="D13" s="34">
        <f>EXP(SectorParameters!B$11+SectorParameters!B$12*LN(NationalDataHigh!Y55))</f>
        <v>191.51341688330447</v>
      </c>
      <c r="E13" s="34">
        <f>SectorParameters!H$3+(SectorParameters!H$4*NationalDataHigh!AC55+SectorParameters!H$5*D12)</f>
        <v>171.0445064951882</v>
      </c>
      <c r="F13" s="34">
        <f>SectorParameters!H$11+SectorParameters!H$12*NationalDataHigh!AG55</f>
        <v>73.67783416534205</v>
      </c>
      <c r="G13" s="34">
        <f>SectorParameters!B$3+SectorParameters!B$4*NationalDataHigh!AA55</f>
        <v>470.9436668474168</v>
      </c>
      <c r="H13" s="34">
        <f>EXP(SectorParameters!E$3+SectorParameters!E$4*LN(G12)+SectorParameters!E$5*LN(NationalDataHigh!AB55))</f>
        <v>107.31109951140257</v>
      </c>
      <c r="I13" s="34">
        <f>SectorParameters!H$18+(SectorParameters!H$19*NationalDataHigh!AF55+SectorParameters!H$20*AN12)</f>
        <v>235.40585336853349</v>
      </c>
      <c r="J13" s="34">
        <f>SectorParameters!B$26+SectorParameters!B$27*NationalDataHigh!AE55</f>
        <v>512.6705103001891</v>
      </c>
      <c r="K13" s="34">
        <f>SectorParameters!E$26+SectorParameters!E$27*NationalDataHigh!AH55</f>
        <v>737.9553903561201</v>
      </c>
      <c r="L13" s="34">
        <f>SectorParameters!B$18+SectorParameters!B$19*NationalDataHigh!AI55</f>
        <v>291.4866203756816</v>
      </c>
      <c r="N13" s="34">
        <f t="shared" si="4"/>
        <v>3002.5</v>
      </c>
      <c r="O13" s="34"/>
      <c r="P13">
        <f>AnnualFactorsHigh!J14</f>
        <v>332.2739999999999</v>
      </c>
      <c r="Q13" s="34">
        <f t="shared" si="5"/>
        <v>3334.8</v>
      </c>
      <c r="R13" s="34">
        <f>ROUND((AnnualFactorsHigh!G14*Q13),1)</f>
        <v>200.1</v>
      </c>
      <c r="S13" s="34">
        <f t="shared" si="6"/>
        <v>3534.9</v>
      </c>
      <c r="T13" s="34">
        <f>ROUND(AnnualFactorsHigh!K14,1)</f>
        <v>82.2</v>
      </c>
      <c r="U13" s="34">
        <f t="shared" si="7"/>
        <v>3617.1</v>
      </c>
      <c r="V13" s="34"/>
      <c r="W13" s="34">
        <f>ROUND(AnnualFactorsHigh!B14*U13,1)</f>
        <v>217</v>
      </c>
      <c r="X13" s="34">
        <f t="shared" si="8"/>
        <v>3400.1</v>
      </c>
      <c r="Y13" s="60">
        <f>ROUND(AnnualFactorsHigh!F14*X13,1)</f>
        <v>223.4</v>
      </c>
      <c r="Z13" s="34">
        <f t="shared" si="9"/>
        <v>3176.7</v>
      </c>
      <c r="AB13" s="95">
        <f>AnnualFactorsHigh!C14</f>
        <v>0.789698761217101</v>
      </c>
      <c r="AC13" s="34">
        <f t="shared" si="10"/>
        <v>4022.7</v>
      </c>
      <c r="AD13" s="8">
        <f>AnnualFactorsHigh!D14</f>
        <v>0.3176966411231194</v>
      </c>
      <c r="AE13" s="34">
        <f t="shared" si="11"/>
        <v>1278</v>
      </c>
      <c r="AF13" s="8">
        <f>AnnualFactorsHigh!E14</f>
        <v>0.13762376923280825</v>
      </c>
      <c r="AG13">
        <f t="shared" si="12"/>
        <v>553.6</v>
      </c>
      <c r="AH13" s="34">
        <f t="shared" si="13"/>
        <v>5854.3</v>
      </c>
      <c r="AI13">
        <f>ROUND(AnnualFactorsHigh!H14*AH13,1)</f>
        <v>116.1</v>
      </c>
      <c r="AJ13" s="34">
        <f t="shared" si="14"/>
        <v>5738.2</v>
      </c>
      <c r="AK13" s="9">
        <f>AnnualFactorsHigh!I14</f>
        <v>2.633987887921993</v>
      </c>
      <c r="AL13" s="34">
        <f t="shared" si="15"/>
        <v>2178.5</v>
      </c>
      <c r="AN13" s="96">
        <f t="shared" si="16"/>
        <v>5644.2</v>
      </c>
      <c r="AO13" s="96">
        <f t="shared" si="17"/>
        <v>112.1</v>
      </c>
      <c r="AP13" s="96">
        <f t="shared" si="18"/>
        <v>5532.099999999999</v>
      </c>
      <c r="AQ13" s="34">
        <f t="shared" si="19"/>
        <v>2100.2754133256044</v>
      </c>
      <c r="AS13" s="60">
        <f t="shared" si="0"/>
        <v>1232.1349435457698</v>
      </c>
      <c r="AT13" s="60">
        <f t="shared" si="1"/>
        <v>3878.332736620945</v>
      </c>
      <c r="AU13" s="60">
        <f t="shared" si="2"/>
        <v>533.7323198332849</v>
      </c>
      <c r="AV13" s="115">
        <f t="shared" si="3"/>
        <v>0.06570394988382695</v>
      </c>
    </row>
    <row r="14" spans="1:48" ht="12.75">
      <c r="A14">
        <v>2012</v>
      </c>
      <c r="B14" s="34">
        <f>SectorParameters!E$18+(SectorParameters!E$19*LN(A14))+SectorParameters!E$20*LN(NationalDataHigh!X56)</f>
        <v>67.34417711070614</v>
      </c>
      <c r="C14" s="34">
        <f>SectorParameters!E$11+(SectorParameters!E$12*NationalDataHigh!Z56+SectorParameters!E$13*B14)</f>
        <v>145.57456879663724</v>
      </c>
      <c r="D14" s="34">
        <f>EXP(SectorParameters!B$11+SectorParameters!B$12*LN(NationalDataHigh!Y56))</f>
        <v>194.2313656214338</v>
      </c>
      <c r="E14" s="34">
        <f>SectorParameters!H$3+(SectorParameters!H$4*NationalDataHigh!AC56+SectorParameters!H$5*D13)</f>
        <v>173.05812787751196</v>
      </c>
      <c r="F14" s="34">
        <f>SectorParameters!H$11+SectorParameters!H$12*NationalDataHigh!AG56</f>
        <v>74.17977093402953</v>
      </c>
      <c r="G14" s="34">
        <f>SectorParameters!B$3+SectorParameters!B$4*NationalDataHigh!AA56</f>
        <v>477.2971643925845</v>
      </c>
      <c r="H14" s="34">
        <f>EXP(SectorParameters!E$3+SectorParameters!E$4*LN(G13)+SectorParameters!E$5*LN(NationalDataHigh!AB56))</f>
        <v>109.17390114430037</v>
      </c>
      <c r="I14" s="34">
        <f>SectorParameters!H$18+(SectorParameters!H$19*NationalDataHigh!AF56+SectorParameters!H$20*AN13)</f>
        <v>241.94715594259708</v>
      </c>
      <c r="J14" s="34">
        <f>SectorParameters!B$26+SectorParameters!B$27*NationalDataHigh!AE56</f>
        <v>530.6876479435075</v>
      </c>
      <c r="K14" s="34">
        <f>SectorParameters!E$26+SectorParameters!E$27*NationalDataHigh!AH56</f>
        <v>747.7871897872702</v>
      </c>
      <c r="L14" s="34">
        <f>SectorParameters!B$18+SectorParameters!B$19*NationalDataHigh!AI56</f>
        <v>294.8944813673159</v>
      </c>
      <c r="N14" s="34">
        <f t="shared" si="4"/>
        <v>3056.2</v>
      </c>
      <c r="O14" s="34"/>
      <c r="P14">
        <f>AnnualFactorsHigh!J15</f>
        <v>332.14</v>
      </c>
      <c r="Q14" s="34">
        <f t="shared" si="5"/>
        <v>3388.3</v>
      </c>
      <c r="R14" s="34">
        <f>ROUND((AnnualFactorsHigh!G15*Q14),1)</f>
        <v>203.3</v>
      </c>
      <c r="S14" s="34">
        <f t="shared" si="6"/>
        <v>3591.6000000000004</v>
      </c>
      <c r="T14" s="34">
        <f>ROUND(AnnualFactorsHigh!K15,1)</f>
        <v>82.4</v>
      </c>
      <c r="U14" s="34">
        <f t="shared" si="7"/>
        <v>3674.0000000000005</v>
      </c>
      <c r="V14" s="34"/>
      <c r="W14" s="34">
        <f>ROUND(AnnualFactorsHigh!B15*U14,1)</f>
        <v>220.4</v>
      </c>
      <c r="X14" s="34">
        <f t="shared" si="8"/>
        <v>3453.6000000000004</v>
      </c>
      <c r="Y14" s="60">
        <f>ROUND(AnnualFactorsHigh!F15*X14,1)</f>
        <v>228.3</v>
      </c>
      <c r="Z14" s="34">
        <f t="shared" si="9"/>
        <v>3225.3</v>
      </c>
      <c r="AB14" s="95">
        <f>AnnualFactorsHigh!C15</f>
        <v>0.7903981412773434</v>
      </c>
      <c r="AC14" s="34">
        <f t="shared" si="10"/>
        <v>4080.6</v>
      </c>
      <c r="AD14" s="8">
        <f>AnnualFactorsHigh!D15</f>
        <v>0.320482685554117</v>
      </c>
      <c r="AE14" s="34">
        <f t="shared" si="11"/>
        <v>1307.8</v>
      </c>
      <c r="AF14" s="8">
        <f>AnnualFactorsHigh!E15</f>
        <v>0.141045134779079</v>
      </c>
      <c r="AG14">
        <f t="shared" si="12"/>
        <v>575.5</v>
      </c>
      <c r="AH14" s="34">
        <f t="shared" si="13"/>
        <v>5963.9</v>
      </c>
      <c r="AI14">
        <f>ROUND(AnnualFactorsHigh!H15*AH14,1)</f>
        <v>118</v>
      </c>
      <c r="AJ14" s="34">
        <f t="shared" si="14"/>
        <v>5845.9</v>
      </c>
      <c r="AK14" s="9">
        <f>AnnualFactorsHigh!I15</f>
        <v>2.637981822707134</v>
      </c>
      <c r="AL14" s="34">
        <f t="shared" si="15"/>
        <v>2216.1</v>
      </c>
      <c r="AN14" s="96">
        <f t="shared" si="16"/>
        <v>5749.8</v>
      </c>
      <c r="AO14" s="96">
        <f t="shared" si="17"/>
        <v>113.9</v>
      </c>
      <c r="AP14" s="96">
        <f t="shared" si="18"/>
        <v>5635.900000000001</v>
      </c>
      <c r="AQ14" s="34">
        <f t="shared" si="19"/>
        <v>2136.443834255219</v>
      </c>
      <c r="AS14" s="60">
        <f t="shared" si="0"/>
        <v>1260.8508593370111</v>
      </c>
      <c r="AT14" s="60">
        <f t="shared" si="1"/>
        <v>3934.109203708983</v>
      </c>
      <c r="AU14" s="60">
        <f t="shared" si="2"/>
        <v>554.8399369540066</v>
      </c>
      <c r="AV14" s="115">
        <f t="shared" si="3"/>
        <v>0.06610493398193189</v>
      </c>
    </row>
    <row r="15" spans="1:48" ht="12.75">
      <c r="A15">
        <v>2013</v>
      </c>
      <c r="B15" s="34">
        <f>SectorParameters!E$18+(SectorParameters!E$19*LN(A15))+SectorParameters!E$20*LN(NationalDataHigh!X57)</f>
        <v>67.33493418964133</v>
      </c>
      <c r="C15" s="34">
        <f>SectorParameters!E$11+(SectorParameters!E$12*NationalDataHigh!Z57+SectorParameters!E$13*B15)</f>
        <v>148.2534256370082</v>
      </c>
      <c r="D15" s="34">
        <f>EXP(SectorParameters!B$11+SectorParameters!B$12*LN(NationalDataHigh!Y57))</f>
        <v>197.09823430729028</v>
      </c>
      <c r="E15" s="34">
        <f>SectorParameters!H$3+(SectorParameters!H$4*NationalDataHigh!AC57+SectorParameters!H$5*D14)</f>
        <v>175.126899428104</v>
      </c>
      <c r="F15" s="34">
        <f>SectorParameters!H$11+SectorParameters!H$12*NationalDataHigh!AG57</f>
        <v>74.70244889150575</v>
      </c>
      <c r="G15" s="34">
        <f>SectorParameters!B$3+SectorParameters!B$4*NationalDataHigh!AA57</f>
        <v>483.60733884932466</v>
      </c>
      <c r="H15" s="34">
        <f>EXP(SectorParameters!E$3+SectorParameters!E$4*LN(G14)+SectorParameters!E$5*LN(NationalDataHigh!AB57))</f>
        <v>111.04123451903905</v>
      </c>
      <c r="I15" s="34">
        <f>SectorParameters!H$18+(SectorParameters!H$19*NationalDataHigh!AF57+SectorParameters!H$20*AN14)</f>
        <v>249.17479835468686</v>
      </c>
      <c r="J15" s="34">
        <f>SectorParameters!B$26+SectorParameters!B$27*NationalDataHigh!AE57</f>
        <v>549.3823319049633</v>
      </c>
      <c r="K15" s="34">
        <f>SectorParameters!E$26+SectorParameters!E$27*NationalDataHigh!AH57</f>
        <v>756.7043184781613</v>
      </c>
      <c r="L15" s="34">
        <f>SectorParameters!B$18+SectorParameters!B$19*NationalDataHigh!AI57</f>
        <v>298.41161245086636</v>
      </c>
      <c r="N15" s="34">
        <f t="shared" si="4"/>
        <v>3110.8</v>
      </c>
      <c r="O15" s="34"/>
      <c r="P15">
        <f>AnnualFactorsHigh!J16</f>
        <v>332.008</v>
      </c>
      <c r="Q15" s="34">
        <f t="shared" si="5"/>
        <v>3442.8</v>
      </c>
      <c r="R15" s="34">
        <f>ROUND((AnnualFactorsHigh!G16*Q15),1)</f>
        <v>206.6</v>
      </c>
      <c r="S15" s="34">
        <f t="shared" si="6"/>
        <v>3649.4</v>
      </c>
      <c r="T15" s="34">
        <f>ROUND(AnnualFactorsHigh!K16,1)</f>
        <v>82.7</v>
      </c>
      <c r="U15" s="34">
        <f t="shared" si="7"/>
        <v>3732.1</v>
      </c>
      <c r="V15" s="34"/>
      <c r="W15" s="34">
        <f>ROUND(AnnualFactorsHigh!B16*U15,1)</f>
        <v>223.9</v>
      </c>
      <c r="X15" s="34">
        <f t="shared" si="8"/>
        <v>3508.2</v>
      </c>
      <c r="Y15" s="60">
        <f>ROUND(AnnualFactorsHigh!F16*X15,1)</f>
        <v>233.4</v>
      </c>
      <c r="Z15" s="34">
        <f t="shared" si="9"/>
        <v>3274.7999999999997</v>
      </c>
      <c r="AB15" s="95">
        <f>AnnualFactorsHigh!C16</f>
        <v>0.7910981407287925</v>
      </c>
      <c r="AC15" s="34">
        <f t="shared" si="10"/>
        <v>4139.6</v>
      </c>
      <c r="AD15" s="8">
        <f>AnnualFactorsHigh!D16</f>
        <v>0.32329316223452104</v>
      </c>
      <c r="AE15" s="34">
        <f t="shared" si="11"/>
        <v>1338.3</v>
      </c>
      <c r="AF15" s="8">
        <f>AnnualFactorsHigh!E16</f>
        <v>0.14455155643350945</v>
      </c>
      <c r="AG15">
        <f t="shared" si="12"/>
        <v>598.4</v>
      </c>
      <c r="AH15" s="34">
        <f t="shared" si="13"/>
        <v>6076.3</v>
      </c>
      <c r="AI15">
        <f>ROUND(AnnualFactorsHigh!H16*AH15,1)</f>
        <v>119.8</v>
      </c>
      <c r="AJ15" s="34">
        <f t="shared" si="14"/>
        <v>5956.5</v>
      </c>
      <c r="AK15" s="9">
        <f>AnnualFactorsHigh!I16</f>
        <v>2.6419818135243247</v>
      </c>
      <c r="AL15" s="34">
        <f t="shared" si="15"/>
        <v>2254.6</v>
      </c>
      <c r="AN15" s="96">
        <f t="shared" si="16"/>
        <v>5858.2</v>
      </c>
      <c r="AO15" s="96">
        <f t="shared" si="17"/>
        <v>115.6</v>
      </c>
      <c r="AP15" s="96">
        <f t="shared" si="18"/>
        <v>5742.599999999999</v>
      </c>
      <c r="AQ15" s="34">
        <f t="shared" si="19"/>
        <v>2173.5955829080985</v>
      </c>
      <c r="AS15" s="60">
        <f t="shared" si="0"/>
        <v>1290.2636571597845</v>
      </c>
      <c r="AT15" s="60">
        <f t="shared" si="1"/>
        <v>3991.0150453400925</v>
      </c>
      <c r="AU15" s="60">
        <f t="shared" si="2"/>
        <v>576.9212975001234</v>
      </c>
      <c r="AV15" s="115">
        <f t="shared" si="3"/>
        <v>0.06652984436463144</v>
      </c>
    </row>
    <row r="16" spans="1:48" ht="12.75">
      <c r="A16">
        <v>2014</v>
      </c>
      <c r="B16" s="34">
        <f>SectorParameters!E$18+(SectorParameters!E$19*LN(A16))+SectorParameters!E$20*LN(NationalDataHigh!X58)</f>
        <v>67.34244891338165</v>
      </c>
      <c r="C16" s="34">
        <f>SectorParameters!E$11+(SectorParameters!E$12*NationalDataHigh!Z58+SectorParameters!E$13*B16)</f>
        <v>151.01701522320892</v>
      </c>
      <c r="D16" s="34">
        <f>EXP(SectorParameters!B$11+SectorParameters!B$12*LN(NationalDataHigh!Y58))</f>
        <v>200.05267892113855</v>
      </c>
      <c r="E16" s="34">
        <f>SectorParameters!H$3+(SectorParameters!H$4*NationalDataHigh!AC58+SectorParameters!H$5*D15)</f>
        <v>177.2595760443541</v>
      </c>
      <c r="F16" s="34">
        <f>SectorParameters!H$11+SectorParameters!H$12*NationalDataHigh!AG58</f>
        <v>75.24379391889184</v>
      </c>
      <c r="G16" s="34">
        <f>SectorParameters!B$3+SectorParameters!B$4*NationalDataHigh!AA58</f>
        <v>490.0574802071385</v>
      </c>
      <c r="H16" s="34">
        <f>EXP(SectorParameters!E$3+SectorParameters!E$4*LN(G15)+SectorParameters!E$5*LN(NationalDataHigh!AB58))</f>
        <v>112.88738022152386</v>
      </c>
      <c r="I16" s="34">
        <f>SectorParameters!H$18+(SectorParameters!H$19*NationalDataHigh!AF58+SectorParameters!H$20*AN15)</f>
        <v>256.60303378193544</v>
      </c>
      <c r="J16" s="34">
        <f>SectorParameters!B$26+SectorParameters!B$27*NationalDataHigh!AE58</f>
        <v>568.7296980994875</v>
      </c>
      <c r="K16" s="34">
        <f>SectorParameters!E$26+SectorParameters!E$27*NationalDataHigh!AH58</f>
        <v>765.7453467912391</v>
      </c>
      <c r="L16" s="34">
        <f>SectorParameters!B$18+SectorParameters!B$19*NationalDataHigh!AI58</f>
        <v>302.02298898869446</v>
      </c>
      <c r="N16" s="34">
        <f t="shared" si="4"/>
        <v>3167</v>
      </c>
      <c r="O16" s="34"/>
      <c r="P16">
        <f>AnnualFactorsHigh!J17</f>
        <v>331.87599999999986</v>
      </c>
      <c r="Q16" s="34">
        <f t="shared" si="5"/>
        <v>3498.9</v>
      </c>
      <c r="R16" s="34">
        <f>ROUND((AnnualFactorsHigh!G17*Q16),1)</f>
        <v>209.9</v>
      </c>
      <c r="S16" s="34">
        <f t="shared" si="6"/>
        <v>3708.8</v>
      </c>
      <c r="T16" s="34">
        <f>ROUND(AnnualFactorsHigh!K17,1)</f>
        <v>82.8</v>
      </c>
      <c r="U16" s="34">
        <f t="shared" si="7"/>
        <v>3791.6000000000004</v>
      </c>
      <c r="V16" s="34"/>
      <c r="W16" s="34">
        <f>ROUND(AnnualFactorsHigh!B17*U16,1)</f>
        <v>227.5</v>
      </c>
      <c r="X16" s="34">
        <f t="shared" si="8"/>
        <v>3564.1000000000004</v>
      </c>
      <c r="Y16" s="60">
        <f>ROUND(AnnualFactorsHigh!F17*X16,1)</f>
        <v>238.6</v>
      </c>
      <c r="Z16" s="34">
        <f t="shared" si="9"/>
        <v>3325.5000000000005</v>
      </c>
      <c r="AB16" s="95">
        <f>AnnualFactorsHigh!C17</f>
        <v>0.7917987601199991</v>
      </c>
      <c r="AC16" s="34">
        <f t="shared" si="10"/>
        <v>4199.9</v>
      </c>
      <c r="AD16" s="8">
        <f>AnnualFactorsHigh!D17</f>
        <v>0.32612828542322997</v>
      </c>
      <c r="AE16" s="34">
        <f t="shared" si="11"/>
        <v>1369.7</v>
      </c>
      <c r="AF16" s="8">
        <f>AnnualFactorsHigh!E17</f>
        <v>0.14814514871483117</v>
      </c>
      <c r="AG16">
        <f t="shared" si="12"/>
        <v>622.2</v>
      </c>
      <c r="AH16" s="34">
        <f t="shared" si="13"/>
        <v>6191.799999999999</v>
      </c>
      <c r="AI16">
        <f>ROUND(AnnualFactorsHigh!H17*AH16,1)</f>
        <v>121.7</v>
      </c>
      <c r="AJ16" s="34">
        <f t="shared" si="14"/>
        <v>6070.099999999999</v>
      </c>
      <c r="AK16" s="9">
        <f>AnnualFactorsHigh!I17</f>
        <v>2.64598786955637</v>
      </c>
      <c r="AL16" s="34">
        <f t="shared" si="15"/>
        <v>2294.1</v>
      </c>
      <c r="AN16" s="96">
        <f t="shared" si="16"/>
        <v>5969.6</v>
      </c>
      <c r="AO16" s="96">
        <f t="shared" si="17"/>
        <v>117.5</v>
      </c>
      <c r="AP16" s="96">
        <f t="shared" si="18"/>
        <v>5852.1</v>
      </c>
      <c r="AQ16" s="34">
        <f t="shared" si="19"/>
        <v>2211.688143899606</v>
      </c>
      <c r="AS16" s="60">
        <f t="shared" si="0"/>
        <v>1320.5467101650572</v>
      </c>
      <c r="AT16" s="60">
        <f t="shared" si="1"/>
        <v>4049.1816660744857</v>
      </c>
      <c r="AU16" s="60">
        <f t="shared" si="2"/>
        <v>599.8716237604575</v>
      </c>
      <c r="AV16" s="115">
        <f t="shared" si="3"/>
        <v>0.06694537190314524</v>
      </c>
    </row>
    <row r="17" spans="1:48" s="98" customFormat="1" ht="12.75">
      <c r="A17" s="98">
        <v>2015</v>
      </c>
      <c r="B17" s="34">
        <f>SectorParameters!E$18+(SectorParameters!E$19*LN(A17))+SectorParameters!E$20*LN(NationalDataHigh!X59)</f>
        <v>67.38519303909936</v>
      </c>
      <c r="C17" s="34">
        <f>SectorParameters!E$11+(SectorParameters!E$12*NationalDataHigh!Z59+SectorParameters!E$13*B17)</f>
        <v>153.4087025006522</v>
      </c>
      <c r="D17" s="34">
        <f>EXP(SectorParameters!B$11+SectorParameters!B$12*LN(NationalDataHigh!Y59))</f>
        <v>203.09823416830167</v>
      </c>
      <c r="E17" s="34">
        <f>SectorParameters!H$3+(SectorParameters!H$4*NationalDataHigh!AC59+SectorParameters!H$5*D16)</f>
        <v>179.45974378914443</v>
      </c>
      <c r="F17" s="34">
        <f>SectorParameters!H$11+SectorParameters!H$12*NationalDataHigh!AG59</f>
        <v>75.80380601618779</v>
      </c>
      <c r="G17" s="34">
        <f>SectorParameters!B$3+SectorParameters!B$4*NationalDataHigh!AA59</f>
        <v>496.6642511923444</v>
      </c>
      <c r="H17" s="34">
        <f>EXP(SectorParameters!E$3+SectorParameters!E$4*LN(G16)+SectorParameters!E$5*LN(NationalDataHigh!AB59))</f>
        <v>114.7524826874185</v>
      </c>
      <c r="I17" s="34">
        <f>SectorParameters!H$18+(SectorParameters!H$19*NationalDataHigh!AF59+SectorParameters!H$20*AN16)</f>
        <v>264.2470503729661</v>
      </c>
      <c r="J17" s="34">
        <f>SectorParameters!B$26+SectorParameters!B$27*NationalDataHigh!AE59</f>
        <v>588.7639346440502</v>
      </c>
      <c r="K17" s="34">
        <f>SectorParameters!E$26+SectorParameters!E$27*NationalDataHigh!AH59</f>
        <v>774.9284952591776</v>
      </c>
      <c r="L17" s="34">
        <f>SectorParameters!B$18+SectorParameters!B$19*NationalDataHigh!AI59</f>
        <v>305.73680623769394</v>
      </c>
      <c r="N17" s="100">
        <f t="shared" si="4"/>
        <v>3224.2</v>
      </c>
      <c r="O17" s="100"/>
      <c r="P17" s="98">
        <f>AnnualFactorsHigh!J18</f>
        <v>331.74300000000005</v>
      </c>
      <c r="Q17" s="100">
        <f t="shared" si="5"/>
        <v>3555.9</v>
      </c>
      <c r="R17" s="100">
        <f>ROUND((AnnualFactorsHigh!G18*Q17),1)</f>
        <v>213.4</v>
      </c>
      <c r="S17" s="100">
        <f t="shared" si="6"/>
        <v>3769.3</v>
      </c>
      <c r="T17" s="100">
        <f>ROUND(AnnualFactorsHigh!K18,1)</f>
        <v>83</v>
      </c>
      <c r="U17" s="100">
        <f t="shared" si="7"/>
        <v>3852.3</v>
      </c>
      <c r="V17" s="100"/>
      <c r="W17" s="100">
        <f>ROUND(AnnualFactorsHigh!B18*U17,1)</f>
        <v>231.1</v>
      </c>
      <c r="X17" s="100">
        <f t="shared" si="8"/>
        <v>3621.2000000000003</v>
      </c>
      <c r="Y17" s="100">
        <f>ROUND(AnnualFactorsHigh!F18*X17,1)</f>
        <v>243.9</v>
      </c>
      <c r="Z17" s="100">
        <f t="shared" si="9"/>
        <v>3377.3</v>
      </c>
      <c r="AB17" s="101">
        <f>AnnualFactorsHigh!C18</f>
        <v>0.7925</v>
      </c>
      <c r="AC17" s="100">
        <f t="shared" si="10"/>
        <v>4261.6</v>
      </c>
      <c r="AD17" s="102">
        <f>AnnualFactorsHigh!D18</f>
        <v>0.3289882712580884</v>
      </c>
      <c r="AE17" s="100">
        <f t="shared" si="11"/>
        <v>1402</v>
      </c>
      <c r="AF17" s="102">
        <f>AnnualFactorsHigh!E18</f>
        <v>0.1518280787093052</v>
      </c>
      <c r="AG17" s="98">
        <f t="shared" si="12"/>
        <v>647</v>
      </c>
      <c r="AH17" s="100">
        <f t="shared" si="13"/>
        <v>6310.6</v>
      </c>
      <c r="AI17" s="98">
        <f>ROUND(AnnualFactorsHigh!H18*AH17,1)</f>
        <v>123.7</v>
      </c>
      <c r="AJ17" s="100">
        <f t="shared" si="14"/>
        <v>6186.900000000001</v>
      </c>
      <c r="AK17" s="103">
        <f>AnnualFactorsHigh!I18</f>
        <v>2.65</v>
      </c>
      <c r="AL17" s="100">
        <f t="shared" si="15"/>
        <v>2334.7</v>
      </c>
      <c r="AN17" s="104">
        <f t="shared" si="16"/>
        <v>6084.1</v>
      </c>
      <c r="AO17" s="104">
        <f t="shared" si="17"/>
        <v>119.4</v>
      </c>
      <c r="AP17" s="104">
        <f t="shared" si="18"/>
        <v>5964.700000000001</v>
      </c>
      <c r="AQ17" s="100">
        <f t="shared" si="19"/>
        <v>2250.8301886792456</v>
      </c>
      <c r="AS17" s="100">
        <f t="shared" si="0"/>
        <v>1351.6794282635567</v>
      </c>
      <c r="AT17" s="100">
        <f t="shared" si="1"/>
        <v>4108.642690077014</v>
      </c>
      <c r="AU17" s="100">
        <f t="shared" si="2"/>
        <v>623.7778816594301</v>
      </c>
      <c r="AV17" s="115">
        <f t="shared" si="3"/>
        <v>0.06735336352590302</v>
      </c>
    </row>
    <row r="18" spans="1:48" ht="12.75">
      <c r="A18">
        <v>2016</v>
      </c>
      <c r="B18" s="34">
        <f>SectorParameters!E$18+(SectorParameters!E$19*LN(A18))+SectorParameters!E$20*LN(NationalDataHigh!X60)</f>
        <v>67.21137234732475</v>
      </c>
      <c r="C18" s="34">
        <f>SectorParameters!E$11+(SectorParameters!E$12*NationalDataHigh!Z60+SectorParameters!E$13*B18)</f>
        <v>155.07682216835767</v>
      </c>
      <c r="D18" s="34">
        <f>EXP(SectorParameters!B$11+SectorParameters!B$12*LN(NationalDataHigh!Y60))</f>
        <v>205.56079899625834</v>
      </c>
      <c r="E18" s="34">
        <f>SectorParameters!H$3+(SectorParameters!H$4*NationalDataHigh!AC60+SectorParameters!H$5*D17)</f>
        <v>181.3719577805973</v>
      </c>
      <c r="F18" s="34">
        <f>SectorParameters!H$11+SectorParameters!H$12*NationalDataHigh!AG60</f>
        <v>76.2559639317823</v>
      </c>
      <c r="G18" s="34">
        <f>SectorParameters!B$3+SectorParameters!B$4*NationalDataHigh!AA60</f>
        <v>502.51286813006766</v>
      </c>
      <c r="H18" s="34">
        <f>EXP(SectorParameters!E$3+SectorParameters!E$4*LN(G17)+SectorParameters!E$5*LN(NationalDataHigh!AB60))</f>
        <v>116.52965205250365</v>
      </c>
      <c r="I18" s="34">
        <f>SectorParameters!H$18+(SectorParameters!H$19*NationalDataHigh!AF60+SectorParameters!H$20*AN17)</f>
        <v>271.8984555885022</v>
      </c>
      <c r="J18" s="34">
        <f>SectorParameters!B$26+SectorParameters!B$27*NationalDataHigh!AE60</f>
        <v>608.4252099125739</v>
      </c>
      <c r="K18" s="34">
        <f>SectorParameters!E$26+SectorParameters!E$27*NationalDataHigh!AH60</f>
        <v>782.5920513020644</v>
      </c>
      <c r="L18" s="34">
        <f>SectorParameters!B$18+SectorParameters!B$19*NationalDataHigh!AI60</f>
        <v>308.95754219692185</v>
      </c>
      <c r="N18" s="34">
        <f t="shared" si="4"/>
        <v>3276.4</v>
      </c>
      <c r="O18" s="34"/>
      <c r="P18">
        <f>AnnualFactorsHigh!J19</f>
        <v>331.61</v>
      </c>
      <c r="Q18" s="34">
        <f t="shared" si="5"/>
        <v>3608</v>
      </c>
      <c r="R18" s="34">
        <f>ROUND((AnnualFactorsHigh!G19*Q18),1)</f>
        <v>216.5</v>
      </c>
      <c r="S18" s="34">
        <f t="shared" si="6"/>
        <v>3824.5</v>
      </c>
      <c r="T18" s="34">
        <f>ROUND(AnnualFactorsHigh!K19,1)</f>
        <v>83.2</v>
      </c>
      <c r="U18" s="34">
        <f t="shared" si="7"/>
        <v>3907.7</v>
      </c>
      <c r="V18" s="34"/>
      <c r="W18" s="34">
        <f>ROUND(AnnualFactorsHigh!B19*U18,1)</f>
        <v>234.5</v>
      </c>
      <c r="X18" s="34">
        <f t="shared" si="8"/>
        <v>3673.2</v>
      </c>
      <c r="Y18" s="60">
        <f>ROUND(AnnualFactorsHigh!F19*X18,1)</f>
        <v>248.9</v>
      </c>
      <c r="Z18" s="34">
        <f t="shared" si="9"/>
        <v>3424.2999999999997</v>
      </c>
      <c r="AB18" s="95">
        <f>AnnualFactorsHigh!C19</f>
        <v>0.7914773642009426</v>
      </c>
      <c r="AC18" s="34">
        <f t="shared" si="10"/>
        <v>4326.5</v>
      </c>
      <c r="AD18" s="8">
        <f>AnnualFactorsHigh!D19</f>
        <v>0.3329433778233042</v>
      </c>
      <c r="AE18" s="34">
        <f t="shared" si="11"/>
        <v>1440.5</v>
      </c>
      <c r="AF18" s="8">
        <f>AnnualFactorsHigh!E19</f>
        <v>0.15600534790959428</v>
      </c>
      <c r="AG18">
        <f t="shared" si="12"/>
        <v>675</v>
      </c>
      <c r="AH18" s="34">
        <f t="shared" si="13"/>
        <v>6442</v>
      </c>
      <c r="AI18">
        <f>ROUND(AnnualFactorsHigh!H19*AH18,1)</f>
        <v>125.6</v>
      </c>
      <c r="AJ18" s="34">
        <f t="shared" si="14"/>
        <v>6316.4</v>
      </c>
      <c r="AK18" s="9">
        <f>AnnualFactorsHigh!I19</f>
        <v>2.65</v>
      </c>
      <c r="AL18" s="34">
        <f t="shared" si="15"/>
        <v>2383.5</v>
      </c>
      <c r="AN18" s="96">
        <f t="shared" si="16"/>
        <v>6210.8</v>
      </c>
      <c r="AO18" s="96">
        <f t="shared" si="17"/>
        <v>121.2</v>
      </c>
      <c r="AP18" s="96">
        <f t="shared" si="18"/>
        <v>6089.6</v>
      </c>
      <c r="AQ18" s="34">
        <f t="shared" si="19"/>
        <v>2297.9622641509436</v>
      </c>
      <c r="AS18" s="60">
        <f t="shared" si="0"/>
        <v>1388.8012108040982</v>
      </c>
      <c r="AT18" s="60">
        <f t="shared" si="1"/>
        <v>4171.224185035703</v>
      </c>
      <c r="AU18" s="60">
        <f t="shared" si="2"/>
        <v>650.7746041601987</v>
      </c>
      <c r="AV18" s="115">
        <f t="shared" si="3"/>
        <v>0.06776108025699663</v>
      </c>
    </row>
    <row r="19" spans="1:48" ht="12.75">
      <c r="A19">
        <v>2017</v>
      </c>
      <c r="B19" s="34">
        <f>SectorParameters!E$18+(SectorParameters!E$19*LN(A19))+SectorParameters!E$20*LN(NationalDataHigh!X61)</f>
        <v>67.05526081926598</v>
      </c>
      <c r="C19" s="34">
        <f>SectorParameters!E$11+(SectorParameters!E$12*NationalDataHigh!Z61+SectorParameters!E$13*B19)</f>
        <v>156.77345195582998</v>
      </c>
      <c r="D19" s="34">
        <f>EXP(SectorParameters!B$11+SectorParameters!B$12*LN(NationalDataHigh!Y61))</f>
        <v>208.09438379640716</v>
      </c>
      <c r="E19" s="34">
        <f>SectorParameters!H$3+(SectorParameters!H$4*NationalDataHigh!AC61+SectorParameters!H$5*D18)</f>
        <v>183.22919593498727</v>
      </c>
      <c r="F19" s="34">
        <f>SectorParameters!H$11+SectorParameters!H$12*NationalDataHigh!AG61</f>
        <v>76.72264067952892</v>
      </c>
      <c r="G19" s="34">
        <f>SectorParameters!B$3+SectorParameters!B$4*NationalDataHigh!AA61</f>
        <v>508.48312296991446</v>
      </c>
      <c r="H19" s="34">
        <f>EXP(SectorParameters!E$3+SectorParameters!E$4*LN(G18)+SectorParameters!E$5*LN(NationalDataHigh!AB61))</f>
        <v>118.19115646499475</v>
      </c>
      <c r="I19" s="34">
        <f>SectorParameters!H$18+(SectorParameters!H$19*NationalDataHigh!AF61+SectorParameters!H$20*AN18)</f>
        <v>280.17832149729725</v>
      </c>
      <c r="J19" s="34">
        <f>SectorParameters!B$26+SectorParameters!B$27*NationalDataHigh!AE61</f>
        <v>628.7298433822649</v>
      </c>
      <c r="K19" s="34">
        <f>SectorParameters!E$26+SectorParameters!E$27*NationalDataHigh!AH61</f>
        <v>790.335777688719</v>
      </c>
      <c r="L19" s="34">
        <f>SectorParameters!B$18+SectorParameters!B$19*NationalDataHigh!AI61</f>
        <v>312.2602307250869</v>
      </c>
      <c r="N19" s="34">
        <f t="shared" si="4"/>
        <v>3330.1</v>
      </c>
      <c r="O19" s="34"/>
      <c r="P19">
        <f>AnnualFactorsHigh!J20</f>
        <v>331.478</v>
      </c>
      <c r="Q19" s="34">
        <f t="shared" si="5"/>
        <v>3661.6</v>
      </c>
      <c r="R19" s="34">
        <f>ROUND((AnnualFactorsHigh!G20*Q19),1)</f>
        <v>219.7</v>
      </c>
      <c r="S19" s="34">
        <f t="shared" si="6"/>
        <v>3881.2999999999997</v>
      </c>
      <c r="T19" s="34">
        <f>ROUND(AnnualFactorsHigh!K20,1)</f>
        <v>83.3</v>
      </c>
      <c r="U19" s="34">
        <f t="shared" si="7"/>
        <v>3964.6</v>
      </c>
      <c r="V19" s="34"/>
      <c r="W19" s="34">
        <f>ROUND(AnnualFactorsHigh!B20*U19,1)</f>
        <v>237.9</v>
      </c>
      <c r="X19" s="34">
        <f t="shared" si="8"/>
        <v>3726.7</v>
      </c>
      <c r="Y19" s="60">
        <f>ROUND(AnnualFactorsHigh!F20*X19,1)</f>
        <v>254</v>
      </c>
      <c r="Z19" s="34">
        <f t="shared" si="9"/>
        <v>3472.7</v>
      </c>
      <c r="AB19" s="95">
        <f>AnnualFactorsHigh!C20</f>
        <v>0.7904560480031186</v>
      </c>
      <c r="AC19" s="34">
        <f t="shared" si="10"/>
        <v>4393.3</v>
      </c>
      <c r="AD19" s="8">
        <f>AnnualFactorsHigh!D20</f>
        <v>0.3369460327946756</v>
      </c>
      <c r="AE19" s="34">
        <f t="shared" si="11"/>
        <v>1480.3</v>
      </c>
      <c r="AF19" s="8">
        <f>AnnualFactorsHigh!E20</f>
        <v>0.1602975469576429</v>
      </c>
      <c r="AG19">
        <f t="shared" si="12"/>
        <v>704.2</v>
      </c>
      <c r="AH19" s="34">
        <f t="shared" si="13"/>
        <v>6577.8</v>
      </c>
      <c r="AI19">
        <f>ROUND(AnnualFactorsHigh!H20*AH19,1)</f>
        <v>127.6</v>
      </c>
      <c r="AJ19" s="34">
        <f t="shared" si="14"/>
        <v>6450.2</v>
      </c>
      <c r="AK19" s="9">
        <f>AnnualFactorsHigh!I20</f>
        <v>2.65</v>
      </c>
      <c r="AL19" s="34">
        <f t="shared" si="15"/>
        <v>2434</v>
      </c>
      <c r="AN19" s="96">
        <f t="shared" si="16"/>
        <v>6341.7</v>
      </c>
      <c r="AO19" s="96">
        <f t="shared" si="17"/>
        <v>123.2</v>
      </c>
      <c r="AP19" s="96">
        <f t="shared" si="18"/>
        <v>6218.5</v>
      </c>
      <c r="AQ19" s="34">
        <f t="shared" si="19"/>
        <v>2346.603773584906</v>
      </c>
      <c r="AS19" s="60">
        <f t="shared" si="0"/>
        <v>1427.1669114293531</v>
      </c>
      <c r="AT19" s="60">
        <f t="shared" si="1"/>
        <v>4235.609262975463</v>
      </c>
      <c r="AU19" s="60">
        <f t="shared" si="2"/>
        <v>678.9238255951838</v>
      </c>
      <c r="AV19" s="115">
        <f t="shared" si="3"/>
        <v>0.06815681433976441</v>
      </c>
    </row>
    <row r="20" spans="1:48" ht="12.75">
      <c r="A20">
        <v>2018</v>
      </c>
      <c r="B20" s="34">
        <f>SectorParameters!E$18+(SectorParameters!E$19*LN(A20))+SectorParameters!E$20*LN(NationalDataHigh!X62)</f>
        <v>66.91669773605872</v>
      </c>
      <c r="C20" s="34">
        <f>SectorParameters!E$11+(SectorParameters!E$12*NationalDataHigh!Z62+SectorParameters!E$13*B20)</f>
        <v>158.50365569930906</v>
      </c>
      <c r="D20" s="34">
        <f>EXP(SectorParameters!B$11+SectorParameters!B$12*LN(NationalDataHigh!Y62))</f>
        <v>210.69937170249452</v>
      </c>
      <c r="E20" s="34">
        <f>SectorParameters!H$3+(SectorParameters!H$4*NationalDataHigh!AC62+SectorParameters!H$5*D19)</f>
        <v>185.13236902484206</v>
      </c>
      <c r="F20" s="34">
        <f>SectorParameters!H$11+SectorParameters!H$12*NationalDataHigh!AG62</f>
        <v>77.20798449718542</v>
      </c>
      <c r="G20" s="34">
        <f>SectorParameters!B$3+SectorParameters!B$4*NationalDataHigh!AA62</f>
        <v>514.5750157118849</v>
      </c>
      <c r="H20" s="34">
        <f>EXP(SectorParameters!E$3+SectorParameters!E$4*LN(G19)+SectorParameters!E$5*LN(NationalDataHigh!AB62))</f>
        <v>119.87909818615171</v>
      </c>
      <c r="I20" s="34">
        <f>SectorParameters!H$18+(SectorParameters!H$19*NationalDataHigh!AF62+SectorParameters!H$20*AN19)</f>
        <v>288.7229537321328</v>
      </c>
      <c r="J20" s="34">
        <f>SectorParameters!B$26+SectorParameters!B$27*NationalDataHigh!AE62</f>
        <v>649.6995911275588</v>
      </c>
      <c r="K20" s="34">
        <f>SectorParameters!E$26+SectorParameters!E$27*NationalDataHigh!AH62</f>
        <v>798.1378097799318</v>
      </c>
      <c r="L20" s="34">
        <f>SectorParameters!B$18+SectorParameters!B$19*NationalDataHigh!AI62</f>
        <v>315.646237698338</v>
      </c>
      <c r="N20" s="34">
        <f t="shared" si="4"/>
        <v>3385.1</v>
      </c>
      <c r="O20" s="34"/>
      <c r="P20">
        <f>AnnualFactorsHigh!J21</f>
        <v>331.345000000001</v>
      </c>
      <c r="Q20" s="34">
        <f t="shared" si="5"/>
        <v>3716.4</v>
      </c>
      <c r="R20" s="34">
        <f>ROUND((AnnualFactorsHigh!G21*Q20),1)</f>
        <v>223</v>
      </c>
      <c r="S20" s="34">
        <f t="shared" si="6"/>
        <v>3939.4</v>
      </c>
      <c r="T20" s="34">
        <f>ROUND(AnnualFactorsHigh!K21,1)</f>
        <v>83.4</v>
      </c>
      <c r="U20" s="34">
        <f t="shared" si="7"/>
        <v>4022.8</v>
      </c>
      <c r="V20" s="34"/>
      <c r="W20" s="34">
        <f>ROUND(AnnualFactorsHigh!B21*U20,1)</f>
        <v>241.4</v>
      </c>
      <c r="X20" s="34">
        <f t="shared" si="8"/>
        <v>3781.4</v>
      </c>
      <c r="Y20" s="60">
        <f>ROUND(AnnualFactorsHigh!F21*X20,1)</f>
        <v>259.3</v>
      </c>
      <c r="Z20" s="34">
        <f t="shared" si="9"/>
        <v>3522.1</v>
      </c>
      <c r="AB20" s="95">
        <f>AnnualFactorsHigh!C21</f>
        <v>0.789436049703725</v>
      </c>
      <c r="AC20" s="34">
        <f t="shared" si="10"/>
        <v>4461.5</v>
      </c>
      <c r="AD20" s="8">
        <f>AnnualFactorsHigh!D21</f>
        <v>0.3409968078005243</v>
      </c>
      <c r="AE20" s="34">
        <f t="shared" si="11"/>
        <v>1521.4</v>
      </c>
      <c r="AF20" s="8">
        <f>AnnualFactorsHigh!E21</f>
        <v>0.16470783793596783</v>
      </c>
      <c r="AG20">
        <f t="shared" si="12"/>
        <v>734.8</v>
      </c>
      <c r="AH20" s="34">
        <f t="shared" si="13"/>
        <v>6717.7</v>
      </c>
      <c r="AI20">
        <f>ROUND(AnnualFactorsHigh!H21*AH20,1)</f>
        <v>129.6</v>
      </c>
      <c r="AJ20" s="34">
        <f t="shared" si="14"/>
        <v>6588.099999999999</v>
      </c>
      <c r="AK20" s="9">
        <f>AnnualFactorsHigh!I21</f>
        <v>2.65</v>
      </c>
      <c r="AL20" s="34">
        <f t="shared" si="15"/>
        <v>2486.1</v>
      </c>
      <c r="AN20" s="96">
        <f t="shared" si="16"/>
        <v>6476.6</v>
      </c>
      <c r="AO20" s="96">
        <f t="shared" si="17"/>
        <v>125.1</v>
      </c>
      <c r="AP20" s="96">
        <f t="shared" si="18"/>
        <v>6351.5</v>
      </c>
      <c r="AQ20" s="34">
        <f t="shared" si="19"/>
        <v>2396.7924528301887</v>
      </c>
      <c r="AS20" s="60">
        <f t="shared" si="0"/>
        <v>1466.7965583458626</v>
      </c>
      <c r="AT20" s="60">
        <f t="shared" si="1"/>
        <v>4301.375604745673</v>
      </c>
      <c r="AU20" s="60">
        <f t="shared" si="2"/>
        <v>708.4278369084657</v>
      </c>
      <c r="AV20" s="115">
        <f t="shared" si="3"/>
        <v>0.06857248638070557</v>
      </c>
    </row>
    <row r="21" spans="1:48" ht="12.75">
      <c r="A21">
        <v>2019</v>
      </c>
      <c r="B21" s="34">
        <f>SectorParameters!E$18+(SectorParameters!E$19*LN(A21))+SectorParameters!E$20*LN(NationalDataHigh!X63)</f>
        <v>66.80474598850776</v>
      </c>
      <c r="C21" s="34">
        <f>SectorParameters!E$11+(SectorParameters!E$12*NationalDataHigh!Z63+SectorParameters!E$13*B21)</f>
        <v>160.2646002820564</v>
      </c>
      <c r="D21" s="34">
        <f>EXP(SectorParameters!B$11+SectorParameters!B$12*LN(NationalDataHigh!Y63))</f>
        <v>213.3731465999074</v>
      </c>
      <c r="E21" s="34">
        <f>SectorParameters!H$3+(SectorParameters!H$4*NationalDataHigh!AC63+SectorParameters!H$5*D20)</f>
        <v>187.08667518562584</v>
      </c>
      <c r="F21" s="34">
        <f>SectorParameters!H$11+SectorParameters!H$12*NationalDataHigh!AG63</f>
        <v>77.70577302811515</v>
      </c>
      <c r="G21" s="34">
        <f>SectorParameters!B$3+SectorParameters!B$4*NationalDataHigh!AA63</f>
        <v>520.7918789012425</v>
      </c>
      <c r="H21" s="34">
        <f>EXP(SectorParameters!E$3+SectorParameters!E$4*LN(G20)+SectorParameters!E$5*LN(NationalDataHigh!AB63))</f>
        <v>121.59649010802902</v>
      </c>
      <c r="I21" s="34">
        <f>SectorParameters!H$18+(SectorParameters!H$19*NationalDataHigh!AF63+SectorParameters!H$20*AN20)</f>
        <v>297.52243211057095</v>
      </c>
      <c r="J21" s="34">
        <f>SectorParameters!B$26+SectorParameters!B$27*NationalDataHigh!AE63</f>
        <v>671.3499932016239</v>
      </c>
      <c r="K21" s="34">
        <f>SectorParameters!E$26+SectorParameters!E$27*NationalDataHigh!AH63</f>
        <v>806.0163681083775</v>
      </c>
      <c r="L21" s="34">
        <f>SectorParameters!B$18+SectorParameters!B$19*NationalDataHigh!AI63</f>
        <v>319.11692899282406</v>
      </c>
      <c r="N21" s="34">
        <f t="shared" si="4"/>
        <v>3441.6</v>
      </c>
      <c r="O21" s="34"/>
      <c r="P21">
        <f>AnnualFactorsHigh!J22</f>
        <v>331.21</v>
      </c>
      <c r="Q21" s="34">
        <f t="shared" si="5"/>
        <v>3772.8</v>
      </c>
      <c r="R21" s="34">
        <f>ROUND((AnnualFactorsHigh!G22*Q21),1)</f>
        <v>226.4</v>
      </c>
      <c r="S21" s="34">
        <f t="shared" si="6"/>
        <v>3999.2000000000003</v>
      </c>
      <c r="T21" s="34">
        <f>ROUND(AnnualFactorsHigh!K22,1)</f>
        <v>83.5</v>
      </c>
      <c r="U21" s="34">
        <f t="shared" si="7"/>
        <v>4082.7000000000003</v>
      </c>
      <c r="V21" s="34"/>
      <c r="W21" s="34">
        <f>ROUND(AnnualFactorsHigh!B22*U21,1)</f>
        <v>245</v>
      </c>
      <c r="X21" s="34">
        <f t="shared" si="8"/>
        <v>3837.7000000000003</v>
      </c>
      <c r="Y21" s="60">
        <f>ROUND(AnnualFactorsHigh!F22*X21,1)</f>
        <v>264.7</v>
      </c>
      <c r="Z21" s="34">
        <f t="shared" si="9"/>
        <v>3573.0000000000005</v>
      </c>
      <c r="AB21" s="95">
        <f>AnnualFactorsHigh!C22</f>
        <v>0.788417367602156</v>
      </c>
      <c r="AC21" s="34">
        <f t="shared" si="10"/>
        <v>4531.9</v>
      </c>
      <c r="AD21" s="8">
        <f>AnnualFactorsHigh!D22</f>
        <v>0.3450962813413043</v>
      </c>
      <c r="AE21" s="34">
        <f t="shared" si="11"/>
        <v>1563.9</v>
      </c>
      <c r="AF21" s="8">
        <f>AnnualFactorsHigh!E22</f>
        <v>0.16923946992594674</v>
      </c>
      <c r="AG21">
        <f t="shared" si="12"/>
        <v>767</v>
      </c>
      <c r="AH21" s="34">
        <f t="shared" si="13"/>
        <v>6862.799999999999</v>
      </c>
      <c r="AI21">
        <f>ROUND(AnnualFactorsHigh!H22*AH21,1)</f>
        <v>131.8</v>
      </c>
      <c r="AJ21" s="34">
        <f t="shared" si="14"/>
        <v>6730.999999999999</v>
      </c>
      <c r="AK21" s="9">
        <f>AnnualFactorsHigh!I22</f>
        <v>2.65</v>
      </c>
      <c r="AL21" s="34">
        <f t="shared" si="15"/>
        <v>2540</v>
      </c>
      <c r="AN21" s="96">
        <f t="shared" si="16"/>
        <v>6616.5</v>
      </c>
      <c r="AO21" s="96">
        <f t="shared" si="17"/>
        <v>127.2</v>
      </c>
      <c r="AP21" s="96">
        <f t="shared" si="18"/>
        <v>6489.3</v>
      </c>
      <c r="AQ21" s="34">
        <f t="shared" si="19"/>
        <v>2448.7924528301887</v>
      </c>
      <c r="AS21" s="60">
        <f t="shared" si="0"/>
        <v>1507.7729716733697</v>
      </c>
      <c r="AT21" s="60">
        <f t="shared" si="1"/>
        <v>4369.253999825144</v>
      </c>
      <c r="AU21" s="60">
        <f t="shared" si="2"/>
        <v>739.4730285014863</v>
      </c>
      <c r="AV21" s="115">
        <f t="shared" si="3"/>
        <v>0.06897360398155145</v>
      </c>
    </row>
    <row r="22" spans="1:48" s="98" customFormat="1" ht="12.75">
      <c r="A22" s="98">
        <v>2020</v>
      </c>
      <c r="B22" s="34">
        <f>SectorParameters!E$18+(SectorParameters!E$19*LN(A22))+SectorParameters!E$20*LN(NationalDataHigh!X64)</f>
        <v>66.71913899271613</v>
      </c>
      <c r="C22" s="34">
        <f>SectorParameters!E$11+(SectorParameters!E$12*NationalDataHigh!Z64+SectorParameters!E$13*B22)</f>
        <v>162.06300415082634</v>
      </c>
      <c r="D22" s="34">
        <f>EXP(SectorParameters!B$11+SectorParameters!B$12*LN(NationalDataHigh!Y64))</f>
        <v>216.1190919128878</v>
      </c>
      <c r="E22" s="34">
        <f>SectorParameters!H$3+(SectorParameters!H$4*NationalDataHigh!AC64+SectorParameters!H$5*D21)</f>
        <v>189.09168337549946</v>
      </c>
      <c r="F22" s="34">
        <f>SectorParameters!H$11+SectorParameters!H$12*NationalDataHigh!AG64</f>
        <v>78.22222862895474</v>
      </c>
      <c r="G22" s="34">
        <f>SectorParameters!B$3+SectorParameters!B$4*NationalDataHigh!AA64</f>
        <v>527.1337125379874</v>
      </c>
      <c r="H22" s="34">
        <f>EXP(SectorParameters!E$3+SectorParameters!E$4*LN(G21)+SectorParameters!E$5*LN(NationalDataHigh!AB64))</f>
        <v>123.34328461542106</v>
      </c>
      <c r="I22" s="34">
        <f>SectorParameters!H$18+(SectorParameters!H$19*NationalDataHigh!AF64+SectorParameters!H$20*AN21)</f>
        <v>306.62711011139993</v>
      </c>
      <c r="J22" s="34">
        <f>SectorParameters!B$26+SectorParameters!B$27*NationalDataHigh!AE64</f>
        <v>693.7183457320641</v>
      </c>
      <c r="K22" s="34">
        <f>SectorParameters!E$26+SectorParameters!E$27*NationalDataHigh!AH64</f>
        <v>813.9459439283116</v>
      </c>
      <c r="L22" s="34">
        <f>SectorParameters!B$18+SectorParameters!B$19*NationalDataHigh!AI64</f>
        <v>322.6736704846941</v>
      </c>
      <c r="N22" s="100">
        <f t="shared" si="4"/>
        <v>3499.7</v>
      </c>
      <c r="O22" s="100"/>
      <c r="P22" s="98">
        <f>AnnualFactorsHigh!J23</f>
        <v>331.077</v>
      </c>
      <c r="Q22" s="100">
        <f t="shared" si="5"/>
        <v>3830.8</v>
      </c>
      <c r="R22" s="100">
        <f>ROUND((AnnualFactorsHigh!G23*Q22),1)</f>
        <v>229.8</v>
      </c>
      <c r="S22" s="100">
        <f t="shared" si="6"/>
        <v>4060.6000000000004</v>
      </c>
      <c r="T22" s="100">
        <f>ROUND(AnnualFactorsHigh!K23,1)</f>
        <v>83.6</v>
      </c>
      <c r="U22" s="100">
        <f t="shared" si="7"/>
        <v>4144.200000000001</v>
      </c>
      <c r="V22" s="100"/>
      <c r="W22" s="100">
        <f>ROUND(AnnualFactorsHigh!B23*U22,1)</f>
        <v>248.7</v>
      </c>
      <c r="X22" s="100">
        <f t="shared" si="8"/>
        <v>3895.500000000001</v>
      </c>
      <c r="Y22" s="100">
        <f>ROUND(AnnualFactorsHigh!F23*X22,1)</f>
        <v>270.3</v>
      </c>
      <c r="Z22" s="100">
        <f t="shared" si="9"/>
        <v>3625.2000000000007</v>
      </c>
      <c r="AB22" s="101">
        <f>AnnualFactorsHigh!C23</f>
        <v>0.7874</v>
      </c>
      <c r="AC22" s="100">
        <f t="shared" si="10"/>
        <v>4604</v>
      </c>
      <c r="AD22" s="102">
        <f>AnnualFactorsHigh!D23</f>
        <v>0.34924503887221897</v>
      </c>
      <c r="AE22" s="100">
        <f t="shared" si="11"/>
        <v>1607.9</v>
      </c>
      <c r="AF22" s="102">
        <f>AnnualFactorsHigh!E23</f>
        <v>0.1738957814014313</v>
      </c>
      <c r="AG22" s="98">
        <f t="shared" si="12"/>
        <v>800.6</v>
      </c>
      <c r="AH22" s="100">
        <f t="shared" si="13"/>
        <v>7012.5</v>
      </c>
      <c r="AI22" s="98">
        <f>ROUND(AnnualFactorsHigh!H23*AH22,1)</f>
        <v>133.9</v>
      </c>
      <c r="AJ22" s="100">
        <f t="shared" si="14"/>
        <v>6878.6</v>
      </c>
      <c r="AK22" s="103">
        <f>AnnualFactorsHigh!I23</f>
        <v>2.65</v>
      </c>
      <c r="AL22" s="100">
        <f t="shared" si="15"/>
        <v>2595.7</v>
      </c>
      <c r="AN22" s="104">
        <f t="shared" si="16"/>
        <v>6760.8</v>
      </c>
      <c r="AO22" s="104">
        <f t="shared" si="17"/>
        <v>129.2</v>
      </c>
      <c r="AP22" s="104">
        <f t="shared" si="18"/>
        <v>6631.6</v>
      </c>
      <c r="AQ22" s="100">
        <f t="shared" si="19"/>
        <v>2502.4905660377362</v>
      </c>
      <c r="AS22" s="100">
        <f t="shared" si="0"/>
        <v>1550.1875679144387</v>
      </c>
      <c r="AT22" s="100">
        <f t="shared" si="1"/>
        <v>4438.748406417112</v>
      </c>
      <c r="AU22" s="100">
        <f t="shared" si="2"/>
        <v>771.8640256684492</v>
      </c>
      <c r="AV22" s="115">
        <f t="shared" si="3"/>
        <v>0.0693877551020408</v>
      </c>
    </row>
    <row r="23" spans="1:48" ht="12.75">
      <c r="A23">
        <v>2021</v>
      </c>
      <c r="B23" s="34">
        <f>SectorParameters!E$18+(SectorParameters!E$19*LN(A23))+SectorParameters!E$20*LN(NationalDataHigh!X65)</f>
        <v>66.54960475333417</v>
      </c>
      <c r="C23" s="34">
        <f>SectorParameters!E$11+(SectorParameters!E$12*NationalDataHigh!Z65+SectorParameters!E$13*B23)</f>
        <v>163.70458067904133</v>
      </c>
      <c r="D23" s="34">
        <f>EXP(SectorParameters!B$11+SectorParameters!B$12*LN(NationalDataHigh!Y65))</f>
        <v>218.530255583443</v>
      </c>
      <c r="E23" s="34">
        <f>SectorParameters!H$3+(SectorParameters!H$4*NationalDataHigh!AC65+SectorParameters!H$5*D22)</f>
        <v>190.96822575455744</v>
      </c>
      <c r="F23" s="34">
        <f>SectorParameters!H$11+SectorParameters!H$12*NationalDataHigh!AG65</f>
        <v>78.69512773333798</v>
      </c>
      <c r="G23" s="34">
        <f>SectorParameters!B$3+SectorParameters!B$4*NationalDataHigh!AA65</f>
        <v>533.2256052799579</v>
      </c>
      <c r="H23" s="34">
        <f>EXP(SectorParameters!E$3+SectorParameters!E$4*LN(G22)+SectorParameters!E$5*LN(NationalDataHigh!AB65))</f>
        <v>125.07599941810354</v>
      </c>
      <c r="I23" s="34">
        <f>SectorParameters!H$18+(SectorParameters!H$19*NationalDataHigh!AF65+SectorParameters!H$20*AN22)</f>
        <v>315.9176717621592</v>
      </c>
      <c r="J23" s="34">
        <f>SectorParameters!B$26+SectorParameters!B$27*NationalDataHigh!AE65</f>
        <v>716.3197990600288</v>
      </c>
      <c r="K23" s="34">
        <f>SectorParameters!E$26+SectorParameters!E$27*NationalDataHigh!AH65</f>
        <v>821.277886276523</v>
      </c>
      <c r="L23" s="34">
        <f>SectorParameters!B$18+SectorParameters!B$19*NationalDataHigh!AI65</f>
        <v>326.04738457260464</v>
      </c>
      <c r="N23" s="34">
        <f t="shared" si="4"/>
        <v>3556.3</v>
      </c>
      <c r="O23" s="34"/>
      <c r="P23">
        <f>AnnualFactorsHigh!J24</f>
        <v>330.94300000000004</v>
      </c>
      <c r="Q23" s="34">
        <f t="shared" si="5"/>
        <v>3887.2</v>
      </c>
      <c r="R23" s="34">
        <f>ROUND((AnnualFactorsHigh!G24*Q23),1)</f>
        <v>233.2</v>
      </c>
      <c r="S23" s="34">
        <f t="shared" si="6"/>
        <v>4120.4</v>
      </c>
      <c r="T23" s="34">
        <f>ROUND(AnnualFactorsHigh!K24,1)</f>
        <v>83.7</v>
      </c>
      <c r="U23" s="34">
        <f t="shared" si="7"/>
        <v>4204.099999999999</v>
      </c>
      <c r="V23" s="34"/>
      <c r="W23" s="34">
        <f>ROUND(AnnualFactorsHigh!B24*U23,1)</f>
        <v>252.2</v>
      </c>
      <c r="X23" s="34">
        <f t="shared" si="8"/>
        <v>3951.8999999999996</v>
      </c>
      <c r="Y23" s="60">
        <f>ROUND(AnnualFactorsHigh!F24*X23,1)</f>
        <v>275.9</v>
      </c>
      <c r="Z23" s="34">
        <f t="shared" si="9"/>
        <v>3675.9999999999995</v>
      </c>
      <c r="AB23" s="95">
        <f>AnnualFactorsHigh!C24</f>
        <v>0.7875599350154806</v>
      </c>
      <c r="AC23" s="34">
        <f t="shared" si="10"/>
        <v>4667.6</v>
      </c>
      <c r="AD23" s="8">
        <f>AnnualFactorsHigh!D24</f>
        <v>0.3530216393244871</v>
      </c>
      <c r="AE23" s="34">
        <f t="shared" si="11"/>
        <v>1647.8</v>
      </c>
      <c r="AF23" s="8">
        <f>AnnualFactorsHigh!E24</f>
        <v>0.17846061060373786</v>
      </c>
      <c r="AG23">
        <f t="shared" si="12"/>
        <v>833</v>
      </c>
      <c r="AH23" s="34">
        <f t="shared" si="13"/>
        <v>7148.400000000001</v>
      </c>
      <c r="AI23">
        <f>ROUND(AnnualFactorsHigh!H24*AH23,1)</f>
        <v>135.8</v>
      </c>
      <c r="AJ23" s="34">
        <f t="shared" si="14"/>
        <v>7012.6</v>
      </c>
      <c r="AK23" s="9">
        <f>AnnualFactorsHigh!I24</f>
        <v>2.65</v>
      </c>
      <c r="AL23" s="34">
        <f t="shared" si="15"/>
        <v>2646.3</v>
      </c>
      <c r="AN23" s="96">
        <f t="shared" si="16"/>
        <v>6891.8</v>
      </c>
      <c r="AO23" s="96">
        <f t="shared" si="17"/>
        <v>131.1</v>
      </c>
      <c r="AP23" s="96">
        <f t="shared" si="18"/>
        <v>6760.7</v>
      </c>
      <c r="AQ23" s="34">
        <f t="shared" si="19"/>
        <v>2551.2075471698113</v>
      </c>
      <c r="AS23" s="60">
        <f t="shared" si="0"/>
        <v>1588.650332941637</v>
      </c>
      <c r="AT23" s="60">
        <f t="shared" si="1"/>
        <v>4500.05115550333</v>
      </c>
      <c r="AU23" s="60">
        <f t="shared" si="2"/>
        <v>803.0985115550333</v>
      </c>
      <c r="AV23" s="115">
        <f t="shared" si="3"/>
        <v>0.06981451959816797</v>
      </c>
    </row>
    <row r="24" spans="1:48" ht="12.75">
      <c r="A24">
        <v>2022</v>
      </c>
      <c r="B24" s="34">
        <f>SectorParameters!E$18+(SectorParameters!E$19*LN(A24))+SectorParameters!E$20*LN(NationalDataHigh!X66)</f>
        <v>66.42489170359181</v>
      </c>
      <c r="C24" s="34">
        <f>SectorParameters!E$11+(SectorParameters!E$12*NationalDataHigh!Z66+SectorParameters!E$13*B24)</f>
        <v>165.40400524704336</v>
      </c>
      <c r="D24" s="34">
        <f>EXP(SectorParameters!B$11+SectorParameters!B$12*LN(NationalDataHigh!Y66))</f>
        <v>221.02169818376913</v>
      </c>
      <c r="E24" s="34">
        <f>SectorParameters!H$3+(SectorParameters!H$4*NationalDataHigh!AC66+SectorParameters!H$5*D23)</f>
        <v>192.8392465468023</v>
      </c>
      <c r="F24" s="34">
        <f>SectorParameters!H$11+SectorParameters!H$12*NationalDataHigh!AG66</f>
        <v>79.18876802650998</v>
      </c>
      <c r="G24" s="34">
        <f>SectorParameters!B$3+SectorParameters!B$4*NationalDataHigh!AA66</f>
        <v>539.4791264672158</v>
      </c>
      <c r="H24" s="34">
        <f>EXP(SectorParameters!E$3+SectorParameters!E$4*LN(G23)+SectorParameters!E$5*LN(NationalDataHigh!AB66))</f>
        <v>126.78519878387623</v>
      </c>
      <c r="I24" s="34">
        <f>SectorParameters!H$18+(SectorParameters!H$19*NationalDataHigh!AF66+SectorParameters!H$20*AN23)</f>
        <v>324.68588468489463</v>
      </c>
      <c r="J24" s="34">
        <f>SectorParameters!B$26+SectorParameters!B$27*NationalDataHigh!AE66</f>
        <v>739.7044710676753</v>
      </c>
      <c r="K24" s="34">
        <f>SectorParameters!E$26+SectorParameters!E$27*NationalDataHigh!AH66</f>
        <v>828.7337282469208</v>
      </c>
      <c r="L24" s="34">
        <f>SectorParameters!B$18+SectorParameters!B$19*NationalDataHigh!AI66</f>
        <v>329.5303687524313</v>
      </c>
      <c r="N24" s="34">
        <f t="shared" si="4"/>
        <v>3613.8</v>
      </c>
      <c r="O24" s="34"/>
      <c r="P24">
        <f>AnnualFactorsHigh!J25</f>
        <v>330.81</v>
      </c>
      <c r="Q24" s="34">
        <f t="shared" si="5"/>
        <v>3944.6</v>
      </c>
      <c r="R24" s="34">
        <f>ROUND((AnnualFactorsHigh!G25*Q24),1)</f>
        <v>236.7</v>
      </c>
      <c r="S24" s="34">
        <f t="shared" si="6"/>
        <v>4181.3</v>
      </c>
      <c r="T24" s="34">
        <f>ROUND(AnnualFactorsHigh!K25,1)</f>
        <v>83.8</v>
      </c>
      <c r="U24" s="34">
        <f t="shared" si="7"/>
        <v>4265.1</v>
      </c>
      <c r="V24" s="34"/>
      <c r="W24" s="34">
        <f>ROUND(AnnualFactorsHigh!B25*U24,1)</f>
        <v>255.9</v>
      </c>
      <c r="X24" s="34">
        <f t="shared" si="8"/>
        <v>4009.2000000000003</v>
      </c>
      <c r="Y24" s="60">
        <f>ROUND(AnnualFactorsHigh!F25*X24,1)</f>
        <v>281.5</v>
      </c>
      <c r="Z24" s="34">
        <f t="shared" si="9"/>
        <v>3727.7000000000003</v>
      </c>
      <c r="AB24" s="95">
        <f>AnnualFactorsHigh!C25</f>
        <v>0.7877199025166218</v>
      </c>
      <c r="AC24" s="34">
        <f t="shared" si="10"/>
        <v>4732.3</v>
      </c>
      <c r="AD24" s="8">
        <f>AnnualFactorsHigh!D25</f>
        <v>0.35683907846990354</v>
      </c>
      <c r="AE24" s="34">
        <f t="shared" si="11"/>
        <v>1688.7</v>
      </c>
      <c r="AF24" s="8">
        <f>AnnualFactorsHigh!E25</f>
        <v>0.18314526827731784</v>
      </c>
      <c r="AG24">
        <f t="shared" si="12"/>
        <v>866.7</v>
      </c>
      <c r="AH24" s="34">
        <f t="shared" si="13"/>
        <v>7287.7</v>
      </c>
      <c r="AI24">
        <f>ROUND(AnnualFactorsHigh!H25*AH24,1)</f>
        <v>137.7</v>
      </c>
      <c r="AJ24" s="34">
        <f t="shared" si="14"/>
        <v>7150</v>
      </c>
      <c r="AK24" s="9">
        <f>AnnualFactorsHigh!I25</f>
        <v>2.65</v>
      </c>
      <c r="AL24" s="34">
        <f t="shared" si="15"/>
        <v>2698.1</v>
      </c>
      <c r="AN24" s="96">
        <f t="shared" si="16"/>
        <v>7026.1</v>
      </c>
      <c r="AO24" s="96">
        <f t="shared" si="17"/>
        <v>132.9</v>
      </c>
      <c r="AP24" s="96">
        <f t="shared" si="18"/>
        <v>6893.200000000001</v>
      </c>
      <c r="AQ24" s="34">
        <f t="shared" si="19"/>
        <v>2601.2075471698117</v>
      </c>
      <c r="AS24" s="60">
        <f t="shared" si="0"/>
        <v>1628.0822577768022</v>
      </c>
      <c r="AT24" s="60">
        <f t="shared" si="1"/>
        <v>4562.428891145355</v>
      </c>
      <c r="AU24" s="60">
        <f t="shared" si="2"/>
        <v>835.5888510778436</v>
      </c>
      <c r="AV24" s="115">
        <f t="shared" si="3"/>
        <v>0.07021350892946224</v>
      </c>
    </row>
    <row r="25" spans="1:48" ht="12.75">
      <c r="A25">
        <v>2023</v>
      </c>
      <c r="B25" s="34">
        <f>SectorParameters!E$18+(SectorParameters!E$19*LN(A25))+SectorParameters!E$20*LN(NationalDataHigh!X67)</f>
        <v>66.33545787559217</v>
      </c>
      <c r="C25" s="34">
        <f>SectorParameters!E$11+(SectorParameters!E$12*NationalDataHigh!Z67+SectorParameters!E$13*B25)</f>
        <v>167.15519508764427</v>
      </c>
      <c r="D25" s="34">
        <f>EXP(SectorParameters!B$11+SectorParameters!B$12*LN(NationalDataHigh!Y67))</f>
        <v>223.60292398373565</v>
      </c>
      <c r="E25" s="34">
        <f>SectorParameters!H$3+(SectorParameters!H$4*NationalDataHigh!AC67+SectorParameters!H$5*D24)</f>
        <v>194.7748445144601</v>
      </c>
      <c r="F25" s="34">
        <f>SectorParameters!H$11+SectorParameters!H$12*NationalDataHigh!AG67</f>
        <v>79.70107538959182</v>
      </c>
      <c r="G25" s="34">
        <f>SectorParameters!B$3+SectorParameters!B$4*NationalDataHigh!AA67</f>
        <v>545.8976086450249</v>
      </c>
      <c r="H25" s="34">
        <f>EXP(SectorParameters!E$3+SectorParameters!E$4*LN(G24)+SectorParameters!E$5*LN(NationalDataHigh!AB67))</f>
        <v>128.53914276236398</v>
      </c>
      <c r="I25" s="34">
        <f>SectorParameters!H$18+(SectorParameters!H$19*NationalDataHigh!AF67+SectorParameters!H$20*AN24)</f>
        <v>333.692660994347</v>
      </c>
      <c r="J25" s="34">
        <f>SectorParameters!B$26+SectorParameters!B$27*NationalDataHigh!AE67</f>
        <v>763.9034418613404</v>
      </c>
      <c r="K25" s="34">
        <f>SectorParameters!E$26+SectorParameters!E$27*NationalDataHigh!AH67</f>
        <v>836.2988934133654</v>
      </c>
      <c r="L25" s="34">
        <f>SectorParameters!B$18+SectorParameters!B$19*NationalDataHigh!AI67</f>
        <v>333.123988900323</v>
      </c>
      <c r="N25" s="34">
        <f t="shared" si="4"/>
        <v>3673</v>
      </c>
      <c r="O25" s="34"/>
      <c r="P25">
        <f>AnnualFactorsHigh!J26</f>
        <v>330.676</v>
      </c>
      <c r="Q25" s="34">
        <f t="shared" si="5"/>
        <v>4003.7</v>
      </c>
      <c r="R25" s="34">
        <f>ROUND((AnnualFactorsHigh!G26*Q25),1)</f>
        <v>240.2</v>
      </c>
      <c r="S25" s="34">
        <f t="shared" si="6"/>
        <v>4243.9</v>
      </c>
      <c r="T25" s="34">
        <f>ROUND(AnnualFactorsHigh!K26,1)</f>
        <v>83.8</v>
      </c>
      <c r="U25" s="34">
        <f t="shared" si="7"/>
        <v>4327.7</v>
      </c>
      <c r="V25" s="34"/>
      <c r="W25" s="34">
        <f>ROUND(AnnualFactorsHigh!B26*U25,1)</f>
        <v>259.7</v>
      </c>
      <c r="X25" s="34">
        <f t="shared" si="8"/>
        <v>4068</v>
      </c>
      <c r="Y25" s="60">
        <f>ROUND(AnnualFactorsHigh!F26*X25,1)</f>
        <v>287.3</v>
      </c>
      <c r="Z25" s="34">
        <f t="shared" si="9"/>
        <v>3780.7</v>
      </c>
      <c r="AB25" s="95">
        <f>AnnualFactorsHigh!C26</f>
        <v>0.787879902510022</v>
      </c>
      <c r="AC25" s="34">
        <f t="shared" si="10"/>
        <v>4798.6</v>
      </c>
      <c r="AD25" s="8">
        <f>AnnualFactorsHigh!D26</f>
        <v>0.3606977979222633</v>
      </c>
      <c r="AE25" s="34">
        <f t="shared" si="11"/>
        <v>1730.8</v>
      </c>
      <c r="AF25" s="8">
        <f>AnnualFactorsHigh!E26</f>
        <v>0.18795289996429151</v>
      </c>
      <c r="AG25">
        <f t="shared" si="12"/>
        <v>901.9</v>
      </c>
      <c r="AH25" s="34">
        <f t="shared" si="13"/>
        <v>7431.3</v>
      </c>
      <c r="AI25">
        <f>ROUND(AnnualFactorsHigh!H26*AH25,1)</f>
        <v>139.7</v>
      </c>
      <c r="AJ25" s="34">
        <f t="shared" si="14"/>
        <v>7291.6</v>
      </c>
      <c r="AK25" s="9">
        <f>AnnualFactorsHigh!I26</f>
        <v>2.65</v>
      </c>
      <c r="AL25" s="34">
        <f t="shared" si="15"/>
        <v>2751.5</v>
      </c>
      <c r="AN25" s="96">
        <f t="shared" si="16"/>
        <v>7164.6</v>
      </c>
      <c r="AO25" s="96">
        <f t="shared" si="17"/>
        <v>134.8</v>
      </c>
      <c r="AP25" s="96">
        <f t="shared" si="18"/>
        <v>7029.8</v>
      </c>
      <c r="AQ25" s="34">
        <f t="shared" si="19"/>
        <v>2652.7547169811323</v>
      </c>
      <c r="AS25" s="60">
        <f t="shared" si="0"/>
        <v>1668.6837673085463</v>
      </c>
      <c r="AT25" s="60">
        <f t="shared" si="1"/>
        <v>4626.3842880788025</v>
      </c>
      <c r="AU25" s="60">
        <f t="shared" si="2"/>
        <v>869.531944612652</v>
      </c>
      <c r="AV25" s="115">
        <f t="shared" si="3"/>
        <v>0.0706243854473943</v>
      </c>
    </row>
    <row r="26" spans="1:48" ht="12.75">
      <c r="A26">
        <v>2024</v>
      </c>
      <c r="B26" s="34">
        <f>SectorParameters!E$18+(SectorParameters!E$19*LN(A26))+SectorParameters!E$20*LN(NationalDataHigh!X68)</f>
        <v>66.27185914492372</v>
      </c>
      <c r="C26" s="34">
        <f>SectorParameters!E$11+(SectorParameters!E$12*NationalDataHigh!Z68+SectorParameters!E$13*B26)</f>
        <v>168.9555740001228</v>
      </c>
      <c r="D26" s="34">
        <f>EXP(SectorParameters!B$11+SectorParameters!B$12*LN(NationalDataHigh!Y68))</f>
        <v>226.27744992195326</v>
      </c>
      <c r="E26" s="34">
        <f>SectorParameters!H$3+(SectorParameters!H$4*NationalDataHigh!AC68+SectorParameters!H$5*D25)</f>
        <v>196.77487395066532</v>
      </c>
      <c r="F26" s="34">
        <f>SectorParameters!H$11+SectorParameters!H$12*NationalDataHigh!AG68</f>
        <v>80.2361980603413</v>
      </c>
      <c r="G26" s="34">
        <f>SectorParameters!B$3+SectorParameters!B$4*NationalDataHigh!AA68</f>
        <v>552.4877169039124</v>
      </c>
      <c r="H26" s="34">
        <f>EXP(SectorParameters!E$3+SectorParameters!E$4*LN(G25)+SectorParameters!E$5*LN(NationalDataHigh!AB68))</f>
        <v>130.33788820189022</v>
      </c>
      <c r="I26" s="34">
        <f>SectorParameters!H$18+(SectorParameters!H$19*NationalDataHigh!AF68+SectorParameters!H$20*AN25)</f>
        <v>342.98527549458026</v>
      </c>
      <c r="J26" s="34">
        <f>SectorParameters!B$26+SectorParameters!B$27*NationalDataHigh!AE68</f>
        <v>788.9571155792615</v>
      </c>
      <c r="K26" s="34">
        <f>SectorParameters!E$26+SectorParameters!E$27*NationalDataHigh!AH68</f>
        <v>843.9770258823918</v>
      </c>
      <c r="L26" s="34">
        <f>SectorParameters!B$18+SectorParameters!B$19*NationalDataHigh!AI68</f>
        <v>336.8323426447267</v>
      </c>
      <c r="N26" s="34">
        <f t="shared" si="4"/>
        <v>3734.1</v>
      </c>
      <c r="O26" s="34"/>
      <c r="P26">
        <f>AnnualFactorsHigh!J27</f>
        <v>330.54200000000003</v>
      </c>
      <c r="Q26" s="34">
        <f t="shared" si="5"/>
        <v>4064.6</v>
      </c>
      <c r="R26" s="34">
        <f>ROUND((AnnualFactorsHigh!G27*Q26),1)</f>
        <v>243.9</v>
      </c>
      <c r="S26" s="34">
        <f t="shared" si="6"/>
        <v>4308.5</v>
      </c>
      <c r="T26" s="34">
        <f>ROUND(AnnualFactorsHigh!K27,1)</f>
        <v>83.8</v>
      </c>
      <c r="U26" s="34">
        <f t="shared" si="7"/>
        <v>4392.3</v>
      </c>
      <c r="V26" s="34"/>
      <c r="W26" s="34">
        <f>ROUND(AnnualFactorsHigh!B27*U26,1)</f>
        <v>263.5</v>
      </c>
      <c r="X26" s="34">
        <f t="shared" si="8"/>
        <v>4128.8</v>
      </c>
      <c r="Y26" s="60">
        <f>ROUND(AnnualFactorsHigh!F27*X26,1)</f>
        <v>293.3</v>
      </c>
      <c r="Z26" s="34">
        <f t="shared" si="9"/>
        <v>3835.5</v>
      </c>
      <c r="AB26" s="95">
        <f>AnnualFactorsHigh!C27</f>
        <v>0.7880399350022811</v>
      </c>
      <c r="AC26" s="34">
        <f t="shared" si="10"/>
        <v>4867.1</v>
      </c>
      <c r="AD26" s="8">
        <f>AnnualFactorsHigh!D27</f>
        <v>0.3645982440708018</v>
      </c>
      <c r="AE26" s="34">
        <f t="shared" si="11"/>
        <v>1774.5</v>
      </c>
      <c r="AF26" s="8">
        <f>AnnualFactorsHigh!E27</f>
        <v>0.19288673377843452</v>
      </c>
      <c r="AG26">
        <f t="shared" si="12"/>
        <v>938.8</v>
      </c>
      <c r="AH26" s="34">
        <f t="shared" si="13"/>
        <v>7580.400000000001</v>
      </c>
      <c r="AI26">
        <f>ROUND(AnnualFactorsHigh!H27*AH26,1)</f>
        <v>141.7</v>
      </c>
      <c r="AJ26" s="34">
        <f t="shared" si="14"/>
        <v>7438.700000000001</v>
      </c>
      <c r="AK26" s="9">
        <f>AnnualFactorsHigh!I27</f>
        <v>2.65</v>
      </c>
      <c r="AL26" s="34">
        <f t="shared" si="15"/>
        <v>2807.1</v>
      </c>
      <c r="AN26" s="96">
        <f t="shared" si="16"/>
        <v>7308.3</v>
      </c>
      <c r="AO26" s="96">
        <f t="shared" si="17"/>
        <v>136.8</v>
      </c>
      <c r="AP26" s="96">
        <f t="shared" si="18"/>
        <v>7171.5</v>
      </c>
      <c r="AQ26" s="34">
        <f t="shared" si="19"/>
        <v>2706.2264150943397</v>
      </c>
      <c r="AS26" s="60">
        <f t="shared" si="0"/>
        <v>1710.8039615323728</v>
      </c>
      <c r="AT26" s="60">
        <f t="shared" si="1"/>
        <v>4692.3944554377085</v>
      </c>
      <c r="AU26" s="60">
        <f t="shared" si="2"/>
        <v>905.1015830299192</v>
      </c>
      <c r="AV26" s="115">
        <f t="shared" si="3"/>
        <v>0.07103758961441581</v>
      </c>
    </row>
    <row r="27" spans="1:48" s="98" customFormat="1" ht="12.75">
      <c r="A27" s="98">
        <v>2025</v>
      </c>
      <c r="B27" s="34">
        <f>SectorParameters!E$18+(SectorParameters!E$19*LN(A27))+SectorParameters!E$20*LN(NationalDataHigh!X69)</f>
        <v>66.24284931540797</v>
      </c>
      <c r="C27" s="34">
        <f>SectorParameters!E$11+(SectorParameters!E$12*NationalDataHigh!Z69+SectorParameters!E$13*B27)</f>
        <v>170.80727812299497</v>
      </c>
      <c r="D27" s="34">
        <f>EXP(SectorParameters!B$11+SectorParameters!B$12*LN(NationalDataHigh!Y69))</f>
        <v>229.04578671569462</v>
      </c>
      <c r="E27" s="34">
        <f>SectorParameters!H$3+(SectorParameters!H$4*NationalDataHigh!AC69+SectorParameters!H$5*D26)</f>
        <v>198.8467609990923</v>
      </c>
      <c r="F27" s="34">
        <f>SectorParameters!H$11+SectorParameters!H$12*NationalDataHigh!AG69</f>
        <v>80.79413603875835</v>
      </c>
      <c r="G27" s="34">
        <f>SectorParameters!B$3+SectorParameters!B$4*NationalDataHigh!AA69</f>
        <v>559.254450061774</v>
      </c>
      <c r="H27" s="34">
        <f>EXP(SectorParameters!E$3+SectorParameters!E$4*LN(G26)+SectorParameters!E$5*LN(NationalDataHigh!AB69))</f>
        <v>132.18497085451529</v>
      </c>
      <c r="I27" s="34">
        <f>SectorParameters!H$18+(SectorParameters!H$19*NationalDataHigh!AF69+SectorParameters!H$20*AN26)</f>
        <v>352.61182396458923</v>
      </c>
      <c r="J27" s="34">
        <f>SectorParameters!B$26+SectorParameters!B$27*NationalDataHigh!AE69</f>
        <v>814.8934643171417</v>
      </c>
      <c r="K27" s="34">
        <f>SectorParameters!E$26+SectorParameters!E$27*NationalDataHigh!AH69</f>
        <v>851.7717697605348</v>
      </c>
      <c r="L27" s="34">
        <f>SectorParameters!B$18+SectorParameters!B$19*NationalDataHigh!AI69</f>
        <v>340.65952761408914</v>
      </c>
      <c r="N27" s="100">
        <f t="shared" si="4"/>
        <v>3797.1</v>
      </c>
      <c r="O27" s="100"/>
      <c r="P27" s="98">
        <f>AnnualFactorsHigh!J28</f>
        <v>330.41100000000006</v>
      </c>
      <c r="Q27" s="100">
        <f t="shared" si="5"/>
        <v>4127.5</v>
      </c>
      <c r="R27" s="100">
        <f>ROUND((AnnualFactorsHigh!G28*Q27),1)</f>
        <v>247.7</v>
      </c>
      <c r="S27" s="100">
        <f t="shared" si="6"/>
        <v>4375.2</v>
      </c>
      <c r="T27" s="100">
        <f>ROUND(AnnualFactorsHigh!K28,1)</f>
        <v>83.8</v>
      </c>
      <c r="U27" s="100">
        <f t="shared" si="7"/>
        <v>4459</v>
      </c>
      <c r="V27" s="100"/>
      <c r="W27" s="100">
        <f>ROUND(AnnualFactorsHigh!B28*U27,1)</f>
        <v>267.5</v>
      </c>
      <c r="X27" s="100">
        <f t="shared" si="8"/>
        <v>4191.5</v>
      </c>
      <c r="Y27" s="100">
        <f>ROUND(AnnualFactorsHigh!F28*X27,1)</f>
        <v>299.5</v>
      </c>
      <c r="Z27" s="100">
        <f t="shared" si="9"/>
        <v>3892</v>
      </c>
      <c r="AB27" s="101">
        <f>AnnualFactorsHigh!C28</f>
        <v>0.7882</v>
      </c>
      <c r="AC27" s="100">
        <f t="shared" si="10"/>
        <v>4937.8</v>
      </c>
      <c r="AD27" s="102">
        <f>AnnualFactorsHigh!D28</f>
        <v>0.36854086813183445</v>
      </c>
      <c r="AE27" s="100">
        <f t="shared" si="11"/>
        <v>1819.8</v>
      </c>
      <c r="AF27" s="102">
        <f>AnnualFactorsHigh!E28</f>
        <v>0.19795008257271454</v>
      </c>
      <c r="AG27" s="98">
        <f t="shared" si="12"/>
        <v>977.4</v>
      </c>
      <c r="AH27" s="100">
        <f t="shared" si="13"/>
        <v>7735</v>
      </c>
      <c r="AI27" s="98">
        <f>ROUND(AnnualFactorsHigh!H28*AH27,1)</f>
        <v>143.9</v>
      </c>
      <c r="AJ27" s="100">
        <f t="shared" si="14"/>
        <v>7591.1</v>
      </c>
      <c r="AK27" s="103">
        <f>AnnualFactorsHigh!I28</f>
        <v>2.65</v>
      </c>
      <c r="AL27" s="100">
        <f t="shared" si="15"/>
        <v>2864.6</v>
      </c>
      <c r="AN27" s="104">
        <f t="shared" si="16"/>
        <v>7457.4</v>
      </c>
      <c r="AO27" s="104">
        <f t="shared" si="17"/>
        <v>138.9</v>
      </c>
      <c r="AP27" s="104">
        <f t="shared" si="18"/>
        <v>7318.5</v>
      </c>
      <c r="AQ27" s="100">
        <f t="shared" si="19"/>
        <v>2761.698113207547</v>
      </c>
      <c r="AS27" s="100">
        <f t="shared" si="0"/>
        <v>1754.4895307045895</v>
      </c>
      <c r="AT27" s="100">
        <f t="shared" si="1"/>
        <v>4760.588199095022</v>
      </c>
      <c r="AU27" s="100">
        <f t="shared" si="2"/>
        <v>942.3222702003878</v>
      </c>
      <c r="AV27" s="115">
        <f t="shared" si="3"/>
        <v>0.07145413336514374</v>
      </c>
    </row>
    <row r="28" spans="1:48" ht="12.75">
      <c r="A28">
        <v>2026</v>
      </c>
      <c r="B28" s="34">
        <f>SectorParameters!E$18+(SectorParameters!E$19*LN(A28))+SectorParameters!E$20*LN(NationalDataHigh!X70)</f>
        <v>65.73394215003043</v>
      </c>
      <c r="C28" s="34">
        <f>SectorParameters!E$11+(SectorParameters!E$12*NationalDataHigh!Z70+SectorParameters!E$13*B28)</f>
        <v>171.6349452491431</v>
      </c>
      <c r="D28" s="34">
        <f>EXP(SectorParameters!B$11+SectorParameters!B$12*LN(NationalDataHigh!Y70))</f>
        <v>230.59815755414735</v>
      </c>
      <c r="E28" s="34">
        <f>SectorParameters!H$3+(SectorParameters!H$4*NationalDataHigh!AC70+SectorParameters!H$5*D27)</f>
        <v>200.26655357147771</v>
      </c>
      <c r="F28" s="34">
        <f>SectorParameters!H$11+SectorParameters!H$12*NationalDataHigh!AG70</f>
        <v>81.10525387058944</v>
      </c>
      <c r="G28" s="34">
        <f>SectorParameters!B$3+SectorParameters!B$4*NationalDataHigh!AA70</f>
        <v>564.0066596077531</v>
      </c>
      <c r="H28" s="34">
        <f>EXP(SectorParameters!E$3+SectorParameters!E$4*LN(G27)+SectorParameters!E$5*LN(NationalDataHigh!AB70))</f>
        <v>133.78596376785927</v>
      </c>
      <c r="I28" s="34">
        <f>SectorParameters!H$18+(SectorParameters!H$19*NationalDataHigh!AF70+SectorParameters!H$20*AN27)</f>
        <v>362.0373683699552</v>
      </c>
      <c r="J28" s="34">
        <f>SectorParameters!B$26+SectorParameters!B$27*NationalDataHigh!AE70</f>
        <v>838.6075854519561</v>
      </c>
      <c r="K28" s="34">
        <f>SectorParameters!E$26+SectorParameters!E$27*NationalDataHigh!AH70</f>
        <v>855.9296953168515</v>
      </c>
      <c r="L28" s="34">
        <f>SectorParameters!B$18+SectorParameters!B$19*NationalDataHigh!AI70</f>
        <v>343.2724486870336</v>
      </c>
      <c r="N28" s="34">
        <f t="shared" si="4"/>
        <v>3847</v>
      </c>
      <c r="O28" s="34"/>
      <c r="P28">
        <f>AnnualFactorsHigh!J29</f>
        <v>330.41100000000006</v>
      </c>
      <c r="Q28" s="34">
        <f t="shared" si="5"/>
        <v>4177.4</v>
      </c>
      <c r="R28" s="34">
        <f>ROUND((AnnualFactorsHigh!G29*Q28),1)</f>
        <v>250.6</v>
      </c>
      <c r="S28" s="34">
        <f t="shared" si="6"/>
        <v>4428</v>
      </c>
      <c r="T28" s="34">
        <f>ROUND(AnnualFactorsHigh!K29,1)</f>
        <v>83.8</v>
      </c>
      <c r="U28" s="34">
        <f t="shared" si="7"/>
        <v>4511.8</v>
      </c>
      <c r="V28" s="34"/>
      <c r="W28" s="34">
        <f>ROUND(AnnualFactorsHigh!B29*U28,1)</f>
        <v>270.7</v>
      </c>
      <c r="X28" s="34">
        <f t="shared" si="8"/>
        <v>4241.1</v>
      </c>
      <c r="Y28" s="60">
        <f>ROUND(AnnualFactorsHigh!F29*X28,1)</f>
        <v>304.7</v>
      </c>
      <c r="Z28" s="34">
        <f t="shared" si="9"/>
        <v>3936.4000000000005</v>
      </c>
      <c r="AB28" s="95">
        <f>AnnualFactorsHigh!C29</f>
        <v>0.7883399502929144</v>
      </c>
      <c r="AC28" s="34">
        <f t="shared" si="10"/>
        <v>4993.3</v>
      </c>
      <c r="AD28" s="8">
        <f>AnnualFactorsHigh!D29</f>
        <v>0.37092780801323255</v>
      </c>
      <c r="AE28" s="34">
        <f t="shared" si="11"/>
        <v>1852.2</v>
      </c>
      <c r="AF28" s="8">
        <f>AnnualFactorsHigh!E29</f>
        <v>0.20091858599657583</v>
      </c>
      <c r="AG28">
        <f t="shared" si="12"/>
        <v>1003.2</v>
      </c>
      <c r="AH28" s="34">
        <f t="shared" si="13"/>
        <v>7848.7</v>
      </c>
      <c r="AI28">
        <f>ROUND(AnnualFactorsHigh!H29*AH28,1)</f>
        <v>145.5</v>
      </c>
      <c r="AJ28" s="34">
        <f t="shared" si="14"/>
        <v>7703.2</v>
      </c>
      <c r="AK28" s="9">
        <f>AnnualFactorsHigh!I29</f>
        <v>2.65</v>
      </c>
      <c r="AL28" s="34">
        <f t="shared" si="15"/>
        <v>2906.9</v>
      </c>
      <c r="AN28" s="96">
        <f t="shared" si="16"/>
        <v>7567</v>
      </c>
      <c r="AO28" s="96">
        <f t="shared" si="17"/>
        <v>140.4</v>
      </c>
      <c r="AP28" s="96">
        <f t="shared" si="18"/>
        <v>7426.6</v>
      </c>
      <c r="AQ28" s="34">
        <f t="shared" si="19"/>
        <v>2802.4905660377362</v>
      </c>
      <c r="AS28" s="60">
        <f t="shared" si="0"/>
        <v>1785.7221450686102</v>
      </c>
      <c r="AT28" s="60">
        <f t="shared" si="1"/>
        <v>4814.084001172168</v>
      </c>
      <c r="AU28" s="60">
        <f t="shared" si="2"/>
        <v>967.1938537592214</v>
      </c>
      <c r="AV28" s="115">
        <f t="shared" si="3"/>
        <v>0.07184456862606399</v>
      </c>
    </row>
    <row r="29" spans="1:48" ht="12.75">
      <c r="A29">
        <v>2027</v>
      </c>
      <c r="B29" s="34">
        <f>SectorParameters!E$18+(SectorParameters!E$19*LN(A29))+SectorParameters!E$20*LN(NationalDataHigh!X71)</f>
        <v>65.23431975829612</v>
      </c>
      <c r="C29" s="34">
        <f>SectorParameters!E$11+(SectorParameters!E$12*NationalDataHigh!Z71+SectorParameters!E$13*B29)</f>
        <v>172.5064173180072</v>
      </c>
      <c r="D29" s="34">
        <f>EXP(SectorParameters!B$11+SectorParameters!B$12*LN(NationalDataHigh!Y71))</f>
        <v>232.20421517082355</v>
      </c>
      <c r="E29" s="34">
        <f>SectorParameters!H$3+(SectorParameters!H$4*NationalDataHigh!AC71+SectorParameters!H$5*D28)</f>
        <v>201.5185202975344</v>
      </c>
      <c r="F29" s="34">
        <f>SectorParameters!H$11+SectorParameters!H$12*NationalDataHigh!AG71</f>
        <v>81.42881641569377</v>
      </c>
      <c r="G29" s="34">
        <f>SectorParameters!B$3+SectorParameters!B$4*NationalDataHigh!AA71</f>
        <v>568.8838396011195</v>
      </c>
      <c r="H29" s="34">
        <f>EXP(SectorParameters!E$3+SectorParameters!E$4*LN(G28)+SectorParameters!E$5*LN(NationalDataHigh!AB71))</f>
        <v>135.07775537926122</v>
      </c>
      <c r="I29" s="34">
        <f>SectorParameters!H$18+(SectorParameters!H$19*NationalDataHigh!AF71+SectorParameters!H$20*AN28)</f>
        <v>369.7215447738762</v>
      </c>
      <c r="J29" s="34">
        <f>SectorParameters!B$26+SectorParameters!B$27*NationalDataHigh!AE71</f>
        <v>863.01790096871</v>
      </c>
      <c r="K29" s="34">
        <f>SectorParameters!E$26+SectorParameters!E$27*NationalDataHigh!AH71</f>
        <v>860.0839767666332</v>
      </c>
      <c r="L29" s="34">
        <f>SectorParameters!B$18+SectorParameters!B$19*NationalDataHigh!AI71</f>
        <v>345.9577611958725</v>
      </c>
      <c r="N29" s="34">
        <f t="shared" si="4"/>
        <v>3895.6</v>
      </c>
      <c r="O29" s="34"/>
      <c r="P29">
        <f>AnnualFactorsHigh!J30</f>
        <v>330.41100000000006</v>
      </c>
      <c r="Q29" s="34">
        <f t="shared" si="5"/>
        <v>4226</v>
      </c>
      <c r="R29" s="34">
        <f>ROUND((AnnualFactorsHigh!G30*Q29),1)</f>
        <v>253.6</v>
      </c>
      <c r="S29" s="34">
        <f t="shared" si="6"/>
        <v>4479.6</v>
      </c>
      <c r="T29" s="34">
        <f>ROUND(AnnualFactorsHigh!K30,1)</f>
        <v>83.8</v>
      </c>
      <c r="U29" s="34">
        <f t="shared" si="7"/>
        <v>4563.400000000001</v>
      </c>
      <c r="V29" s="34"/>
      <c r="W29" s="34">
        <f>ROUND(AnnualFactorsHigh!B30*U29,1)</f>
        <v>273.8</v>
      </c>
      <c r="X29" s="34">
        <f t="shared" si="8"/>
        <v>4289.6</v>
      </c>
      <c r="Y29" s="60">
        <f>ROUND(AnnualFactorsHigh!F30*X29,1)</f>
        <v>310</v>
      </c>
      <c r="Z29" s="34">
        <f t="shared" si="9"/>
        <v>3979.6000000000004</v>
      </c>
      <c r="AB29" s="95">
        <f>AnnualFactorsHigh!C30</f>
        <v>0.788479925434959</v>
      </c>
      <c r="AC29" s="34">
        <f t="shared" si="10"/>
        <v>5047.2</v>
      </c>
      <c r="AD29" s="8">
        <f>AnnualFactorsHigh!D30</f>
        <v>0.3733302074609639</v>
      </c>
      <c r="AE29" s="34">
        <f t="shared" si="11"/>
        <v>1884.3</v>
      </c>
      <c r="AF29" s="8">
        <f>AnnualFactorsHigh!E30</f>
        <v>0.2039316057573992</v>
      </c>
      <c r="AG29">
        <f t="shared" si="12"/>
        <v>1029.3</v>
      </c>
      <c r="AH29" s="34">
        <f t="shared" si="13"/>
        <v>7960.8</v>
      </c>
      <c r="AI29">
        <f>ROUND(AnnualFactorsHigh!H30*AH29,1)</f>
        <v>147.1</v>
      </c>
      <c r="AJ29" s="34">
        <f t="shared" si="14"/>
        <v>7813.7</v>
      </c>
      <c r="AK29" s="9">
        <f>AnnualFactorsHigh!I30</f>
        <v>2.65</v>
      </c>
      <c r="AL29" s="34">
        <f t="shared" si="15"/>
        <v>2948.6</v>
      </c>
      <c r="AN29" s="96">
        <f t="shared" si="16"/>
        <v>7675.1</v>
      </c>
      <c r="AO29" s="96">
        <f t="shared" si="17"/>
        <v>142</v>
      </c>
      <c r="AP29" s="96">
        <f t="shared" si="18"/>
        <v>7533.1</v>
      </c>
      <c r="AQ29" s="34">
        <f t="shared" si="19"/>
        <v>2842.679245283019</v>
      </c>
      <c r="AS29" s="60">
        <f t="shared" si="0"/>
        <v>1816.6755765752184</v>
      </c>
      <c r="AT29" s="60">
        <f t="shared" si="1"/>
        <v>4866.064305094966</v>
      </c>
      <c r="AU29" s="60">
        <f t="shared" si="2"/>
        <v>992.3601183298161</v>
      </c>
      <c r="AV29" s="115">
        <f t="shared" si="3"/>
        <v>0.07226781051846326</v>
      </c>
    </row>
    <row r="30" spans="1:48" ht="12.75">
      <c r="A30">
        <v>2028</v>
      </c>
      <c r="B30" s="34">
        <f>SectorParameters!E$18+(SectorParameters!E$19*LN(A30))+SectorParameters!E$20*LN(NationalDataHigh!X72)</f>
        <v>64.75299315557766</v>
      </c>
      <c r="C30" s="34">
        <f>SectorParameters!E$11+(SectorParameters!E$12*NationalDataHigh!Z72+SectorParameters!E$13*B30)</f>
        <v>173.4257165309088</v>
      </c>
      <c r="D30" s="34">
        <f>EXP(SectorParameters!B$11+SectorParameters!B$12*LN(NationalDataHigh!Y72))</f>
        <v>233.86414122391258</v>
      </c>
      <c r="E30" s="34">
        <f>SectorParameters!H$3+(SectorParameters!H$4*NationalDataHigh!AC72+SectorParameters!H$5*D29)</f>
        <v>202.8135660704916</v>
      </c>
      <c r="F30" s="34">
        <f>SectorParameters!H$11+SectorParameters!H$12*NationalDataHigh!AG72</f>
        <v>81.76897191182908</v>
      </c>
      <c r="G30" s="34">
        <f>SectorParameters!B$3+SectorParameters!B$4*NationalDataHigh!AA72</f>
        <v>573.8943214050323</v>
      </c>
      <c r="H30" s="34">
        <f>EXP(SectorParameters!E$3+SectorParameters!E$4*LN(G29)+SectorParameters!E$5*LN(NationalDataHigh!AB72))</f>
        <v>136.40679525291694</v>
      </c>
      <c r="I30" s="34">
        <f>SectorParameters!H$18+(SectorParameters!H$19*NationalDataHigh!AF72+SectorParameters!H$20*AN29)</f>
        <v>377.4099630189886</v>
      </c>
      <c r="J30" s="34">
        <f>SectorParameters!B$26+SectorParameters!B$27*NationalDataHigh!AE72</f>
        <v>888.1585989843735</v>
      </c>
      <c r="K30" s="34">
        <f>SectorParameters!E$26+SectorParameters!E$27*NationalDataHigh!AH72</f>
        <v>864.2309700033452</v>
      </c>
      <c r="L30" s="34">
        <f>SectorParameters!B$18+SectorParameters!B$19*NationalDataHigh!AI72</f>
        <v>348.7195627690527</v>
      </c>
      <c r="N30" s="34">
        <f t="shared" si="4"/>
        <v>3945.4</v>
      </c>
      <c r="O30" s="34"/>
      <c r="P30">
        <f>AnnualFactorsHigh!J31</f>
        <v>330.41100000000006</v>
      </c>
      <c r="Q30" s="34">
        <f t="shared" si="5"/>
        <v>4275.8</v>
      </c>
      <c r="R30" s="34">
        <f>ROUND((AnnualFactorsHigh!G31*Q30),1)</f>
        <v>256.5</v>
      </c>
      <c r="S30" s="34">
        <f t="shared" si="6"/>
        <v>4532.3</v>
      </c>
      <c r="T30" s="34">
        <f>ROUND(AnnualFactorsHigh!K31,1)</f>
        <v>83.8</v>
      </c>
      <c r="U30" s="34">
        <f t="shared" si="7"/>
        <v>4616.1</v>
      </c>
      <c r="V30" s="34"/>
      <c r="W30" s="34">
        <f>ROUND(AnnualFactorsHigh!B31*U30,1)</f>
        <v>277</v>
      </c>
      <c r="X30" s="34">
        <f t="shared" si="8"/>
        <v>4339.1</v>
      </c>
      <c r="Y30" s="60">
        <f>ROUND(AnnualFactorsHigh!F31*X30,1)</f>
        <v>315.3</v>
      </c>
      <c r="Z30" s="34">
        <f t="shared" si="9"/>
        <v>4023.8</v>
      </c>
      <c r="AB30" s="95">
        <f>AnnualFactorsHigh!C31</f>
        <v>0.7886199254305462</v>
      </c>
      <c r="AC30" s="34">
        <f t="shared" si="10"/>
        <v>5102.3</v>
      </c>
      <c r="AD30" s="8">
        <f>AnnualFactorsHigh!D31</f>
        <v>0.37574816660247334</v>
      </c>
      <c r="AE30" s="34">
        <f t="shared" si="11"/>
        <v>1917.2</v>
      </c>
      <c r="AF30" s="8">
        <f>AnnualFactorsHigh!E31</f>
        <v>0.20698980943206546</v>
      </c>
      <c r="AG30">
        <f t="shared" si="12"/>
        <v>1056.1</v>
      </c>
      <c r="AH30" s="34">
        <f t="shared" si="13"/>
        <v>8075.6</v>
      </c>
      <c r="AI30">
        <f>ROUND(AnnualFactorsHigh!H31*AH30,1)</f>
        <v>148.7</v>
      </c>
      <c r="AJ30" s="34">
        <f t="shared" si="14"/>
        <v>7926.900000000001</v>
      </c>
      <c r="AK30" s="9">
        <f>AnnualFactorsHigh!I31</f>
        <v>2.65</v>
      </c>
      <c r="AL30" s="34">
        <f t="shared" si="15"/>
        <v>2991.3</v>
      </c>
      <c r="AN30" s="96">
        <f t="shared" si="16"/>
        <v>7785.7</v>
      </c>
      <c r="AO30" s="96">
        <f t="shared" si="17"/>
        <v>143.5</v>
      </c>
      <c r="AP30" s="96">
        <f t="shared" si="18"/>
        <v>7642.2</v>
      </c>
      <c r="AQ30" s="34">
        <f t="shared" si="19"/>
        <v>2883.8490566037735</v>
      </c>
      <c r="AS30" s="60">
        <f t="shared" si="0"/>
        <v>1848.375853187379</v>
      </c>
      <c r="AT30" s="60">
        <f t="shared" si="1"/>
        <v>4919.136300708306</v>
      </c>
      <c r="AU30" s="60">
        <f t="shared" si="2"/>
        <v>1018.1878461043141</v>
      </c>
      <c r="AV30" s="115">
        <f t="shared" si="3"/>
        <v>0.07266483833052936</v>
      </c>
    </row>
    <row r="31" spans="1:48" ht="12.75">
      <c r="A31">
        <v>2029</v>
      </c>
      <c r="B31" s="34">
        <f>SectorParameters!E$18+(SectorParameters!E$19*LN(A31))+SectorParameters!E$20*LN(NationalDataHigh!X73)</f>
        <v>64.29894470217721</v>
      </c>
      <c r="C31" s="34">
        <f>SectorParameters!E$11+(SectorParameters!E$12*NationalDataHigh!Z73+SectorParameters!E$13*B31)</f>
        <v>174.40029101595348</v>
      </c>
      <c r="D31" s="34">
        <f>EXP(SectorParameters!B$11+SectorParameters!B$12*LN(NationalDataHigh!Y73))</f>
        <v>235.584236240064</v>
      </c>
      <c r="E31" s="34">
        <f>SectorParameters!H$3+(SectorParameters!H$4*NationalDataHigh!AC73+SectorParameters!H$5*D30)</f>
        <v>204.15000915151327</v>
      </c>
      <c r="F31" s="34">
        <f>SectorParameters!H$11+SectorParameters!H$12*NationalDataHigh!AG73</f>
        <v>82.12157212123765</v>
      </c>
      <c r="G31" s="34">
        <f>SectorParameters!B$3+SectorParameters!B$4*NationalDataHigh!AA73</f>
        <v>579.0397712921232</v>
      </c>
      <c r="H31" s="34">
        <f>EXP(SectorParameters!E$3+SectorParameters!E$4*LN(G30)+SectorParameters!E$5*LN(NationalDataHigh!AB73))</f>
        <v>137.7753471309234</v>
      </c>
      <c r="I31" s="34">
        <f>SectorParameters!H$18+(SectorParameters!H$19*NationalDataHigh!AF73+SectorParameters!H$20*AN30)</f>
        <v>385.28898568848876</v>
      </c>
      <c r="J31" s="34">
        <f>SectorParameters!B$26+SectorParameters!B$27*NationalDataHigh!AE73</f>
        <v>914.0514355733826</v>
      </c>
      <c r="K31" s="34">
        <f>SectorParameters!E$26+SectorParameters!E$27*NationalDataHigh!AH73</f>
        <v>868.3743191335222</v>
      </c>
      <c r="L31" s="34">
        <f>SectorParameters!B$18+SectorParameters!B$19*NationalDataHigh!AI73</f>
        <v>351.55785340657417</v>
      </c>
      <c r="N31" s="34">
        <f t="shared" si="4"/>
        <v>3996.6</v>
      </c>
      <c r="O31" s="34"/>
      <c r="P31">
        <f>AnnualFactorsHigh!J32</f>
        <v>330.41100000000006</v>
      </c>
      <c r="Q31" s="34">
        <f t="shared" si="5"/>
        <v>4327</v>
      </c>
      <c r="R31" s="34">
        <f>ROUND((AnnualFactorsHigh!G32*Q31),1)</f>
        <v>259.6</v>
      </c>
      <c r="S31" s="34">
        <f t="shared" si="6"/>
        <v>4586.6</v>
      </c>
      <c r="T31" s="34">
        <f>ROUND(AnnualFactorsHigh!K32,1)</f>
        <v>83.8</v>
      </c>
      <c r="U31" s="34">
        <f t="shared" si="7"/>
        <v>4670.400000000001</v>
      </c>
      <c r="V31" s="34"/>
      <c r="W31" s="34">
        <f>ROUND(AnnualFactorsHigh!B32*U31,1)</f>
        <v>280.2</v>
      </c>
      <c r="X31" s="34">
        <f t="shared" si="8"/>
        <v>4390.200000000001</v>
      </c>
      <c r="Y31" s="60">
        <f>ROUND(AnnualFactorsHigh!F32*X31,1)</f>
        <v>320.9</v>
      </c>
      <c r="Z31" s="34">
        <f t="shared" si="9"/>
        <v>4069.3000000000006</v>
      </c>
      <c r="AB31" s="95">
        <f>AnnualFactorsHigh!C32</f>
        <v>0.7887599502840885</v>
      </c>
      <c r="AC31" s="34">
        <f t="shared" si="10"/>
        <v>5159.1</v>
      </c>
      <c r="AD31" s="8">
        <f>AnnualFactorsHigh!D32</f>
        <v>0.37818178621370413</v>
      </c>
      <c r="AE31" s="34">
        <f t="shared" si="11"/>
        <v>1951.1</v>
      </c>
      <c r="AF31" s="8">
        <f>AnnualFactorsHigh!E32</f>
        <v>0.21009387460858678</v>
      </c>
      <c r="AG31">
        <f t="shared" si="12"/>
        <v>1083.9</v>
      </c>
      <c r="AH31" s="34">
        <f t="shared" si="13"/>
        <v>8194.1</v>
      </c>
      <c r="AI31">
        <f>ROUND(AnnualFactorsHigh!H32*AH31,1)</f>
        <v>150.4</v>
      </c>
      <c r="AJ31" s="34">
        <f t="shared" si="14"/>
        <v>8043.700000000001</v>
      </c>
      <c r="AK31" s="9">
        <f>AnnualFactorsHigh!I32</f>
        <v>2.65</v>
      </c>
      <c r="AL31" s="34">
        <f t="shared" si="15"/>
        <v>3035.4</v>
      </c>
      <c r="AN31" s="96">
        <f t="shared" si="16"/>
        <v>7900</v>
      </c>
      <c r="AO31" s="96">
        <f t="shared" si="17"/>
        <v>145.2</v>
      </c>
      <c r="AP31" s="96">
        <f t="shared" si="18"/>
        <v>7754.8</v>
      </c>
      <c r="AQ31" s="34">
        <f t="shared" si="19"/>
        <v>2926.33962264151</v>
      </c>
      <c r="AS31" s="60">
        <f t="shared" si="0"/>
        <v>1881.0717467446088</v>
      </c>
      <c r="AT31" s="60">
        <f t="shared" si="1"/>
        <v>4973.931243211579</v>
      </c>
      <c r="AU31" s="60">
        <f t="shared" si="2"/>
        <v>1044.9970100438122</v>
      </c>
      <c r="AV31" s="115">
        <f t="shared" si="3"/>
        <v>0.07309461983508722</v>
      </c>
    </row>
    <row r="32" spans="1:48" s="98" customFormat="1" ht="12.75">
      <c r="A32" s="98">
        <v>2030</v>
      </c>
      <c r="B32" s="34">
        <f>SectorParameters!E$18+(SectorParameters!E$19*LN(A32))+SectorParameters!E$20*LN(NationalDataHigh!X74)</f>
        <v>63.872105818091086</v>
      </c>
      <c r="C32" s="34">
        <f>SectorParameters!E$11+(SectorParameters!E$12*NationalDataHigh!Z74+SectorParameters!E$13*B32)</f>
        <v>175.4318191519342</v>
      </c>
      <c r="D32" s="34">
        <f>EXP(SectorParameters!B$11+SectorParameters!B$12*LN(NationalDataHigh!Y74))</f>
        <v>237.36165375864275</v>
      </c>
      <c r="E32" s="34">
        <f>SectorParameters!H$3+(SectorParameters!H$4*NationalDataHigh!AC74+SectorParameters!H$5*D31)</f>
        <v>205.53059931095854</v>
      </c>
      <c r="F32" s="34">
        <f>SectorParameters!H$11+SectorParameters!H$12*NationalDataHigh!AG74</f>
        <v>83.71242130133392</v>
      </c>
      <c r="G32" s="34">
        <f>SectorParameters!B$3+SectorParameters!B$4*NationalDataHigh!AA74</f>
        <v>584.325188080288</v>
      </c>
      <c r="H32" s="34">
        <f>EXP(SectorParameters!E$3+SectorParameters!E$4*LN(G31)+SectorParameters!E$5*LN(NationalDataHigh!AB74))</f>
        <v>139.18386277448883</v>
      </c>
      <c r="I32" s="34">
        <f>SectorParameters!H$18+(SectorParameters!H$19*NationalDataHigh!AF74+SectorParameters!H$20*AN31)</f>
        <v>396.1732801918022</v>
      </c>
      <c r="J32" s="34">
        <f>SectorParameters!B$26+SectorParameters!B$27*NationalDataHigh!AE74</f>
        <v>940.7243828314399</v>
      </c>
      <c r="K32" s="34">
        <f>SectorParameters!E$26+SectorParameters!E$27*NationalDataHigh!AH74</f>
        <v>857.0047067446459</v>
      </c>
      <c r="L32" s="34">
        <f>SectorParameters!B$18+SectorParameters!B$19*NationalDataHigh!AI74</f>
        <v>354.4753648607348</v>
      </c>
      <c r="N32" s="100">
        <f t="shared" si="4"/>
        <v>4037.8</v>
      </c>
      <c r="O32" s="100"/>
      <c r="P32" s="98">
        <f>AnnualFactorsHigh!J33</f>
        <v>330.41100000000006</v>
      </c>
      <c r="Q32" s="100">
        <f t="shared" si="5"/>
        <v>4368.2</v>
      </c>
      <c r="R32" s="100">
        <f>ROUND((AnnualFactorsHigh!G33*Q32),1)</f>
        <v>262.1</v>
      </c>
      <c r="S32" s="100">
        <f t="shared" si="6"/>
        <v>4630.3</v>
      </c>
      <c r="T32" s="100">
        <f>ROUND(AnnualFactorsHigh!K33,1)</f>
        <v>83.8</v>
      </c>
      <c r="U32" s="100">
        <f t="shared" si="7"/>
        <v>4714.1</v>
      </c>
      <c r="V32" s="100"/>
      <c r="W32" s="100">
        <f>ROUND(AnnualFactorsHigh!B33*U32,1)</f>
        <v>282.8</v>
      </c>
      <c r="X32" s="100">
        <f t="shared" si="8"/>
        <v>4431.3</v>
      </c>
      <c r="Y32" s="100">
        <f>ROUND(AnnualFactorsHigh!F33*X32,1)</f>
        <v>325.7</v>
      </c>
      <c r="Z32" s="100">
        <f t="shared" si="9"/>
        <v>4105.6</v>
      </c>
      <c r="AB32" s="101">
        <f>AnnualFactorsHigh!C33</f>
        <v>0.7888999999999999</v>
      </c>
      <c r="AC32" s="100">
        <f t="shared" si="10"/>
        <v>5204.2</v>
      </c>
      <c r="AD32" s="102">
        <f>AnnualFactorsHigh!D33</f>
        <v>0.38063116772329825</v>
      </c>
      <c r="AE32" s="100">
        <f t="shared" si="11"/>
        <v>1980.9</v>
      </c>
      <c r="AF32" s="102">
        <f>AnnualFactorsHigh!E33</f>
        <v>0.2132444890362357</v>
      </c>
      <c r="AG32" s="98">
        <f t="shared" si="12"/>
        <v>1109.8</v>
      </c>
      <c r="AH32" s="100">
        <f t="shared" si="13"/>
        <v>8294.9</v>
      </c>
      <c r="AI32" s="98">
        <f>ROUND(AnnualFactorsHigh!H33*AH32,1)</f>
        <v>151.8</v>
      </c>
      <c r="AJ32" s="100">
        <f t="shared" si="14"/>
        <v>8143.099999999999</v>
      </c>
      <c r="AK32" s="103">
        <f>AnnualFactorsHigh!I33</f>
        <v>2.65</v>
      </c>
      <c r="AL32" s="100">
        <f t="shared" si="15"/>
        <v>3072.9</v>
      </c>
      <c r="AN32" s="104">
        <f t="shared" si="16"/>
        <v>7997.2</v>
      </c>
      <c r="AO32" s="104">
        <f t="shared" si="17"/>
        <v>146.5</v>
      </c>
      <c r="AP32" s="104">
        <f t="shared" si="18"/>
        <v>7850.7</v>
      </c>
      <c r="AQ32" s="100">
        <f t="shared" si="19"/>
        <v>2962.5283018867926</v>
      </c>
      <c r="AS32" s="100">
        <f t="shared" si="0"/>
        <v>1909.8064449239896</v>
      </c>
      <c r="AT32" s="100">
        <f t="shared" si="1"/>
        <v>5017.423747121726</v>
      </c>
      <c r="AU32" s="100">
        <f t="shared" si="2"/>
        <v>1069.969807954285</v>
      </c>
      <c r="AV32" s="115">
        <f t="shared" si="3"/>
        <v>0.07349987588292374</v>
      </c>
    </row>
    <row r="36" spans="34:38" ht="12.75">
      <c r="AH36" s="8">
        <f>(AH7-AH2)/AH2</f>
        <v>0.09074902950722286</v>
      </c>
      <c r="AL36" s="8">
        <f>(AL7-AL2)/AL2</f>
        <v>0.0815174438297391</v>
      </c>
    </row>
    <row r="37" spans="34:38" ht="12.75">
      <c r="AH37" s="8">
        <f>(AH12-AH7)/AH7</f>
        <v>0.11991676228631448</v>
      </c>
      <c r="AL37" s="8">
        <f>(AL12-AL7)/AL7</f>
        <v>0.12015868044681076</v>
      </c>
    </row>
    <row r="38" spans="34:38" ht="12.75">
      <c r="AH38" s="8">
        <f>(AH17-AH12)/AH12</f>
        <v>0.09587566206477388</v>
      </c>
      <c r="AL38" s="8">
        <f>(AL17-AL12)/AL12</f>
        <v>0.08793103448275853</v>
      </c>
    </row>
    <row r="39" spans="34:38" ht="12.75">
      <c r="AH39" s="8">
        <f>(AH22-AH17)/AH17</f>
        <v>0.11122555699933438</v>
      </c>
      <c r="AL39" s="8">
        <f>(AL22-AL17)/AL17</f>
        <v>0.1117916648819977</v>
      </c>
    </row>
    <row r="40" spans="34:38" ht="12.75">
      <c r="AH40" s="8">
        <f>(AH27-AH22)/AH22</f>
        <v>0.10303030303030303</v>
      </c>
      <c r="AL40" s="8">
        <f>(AL27-AL22)/AL22</f>
        <v>0.10359440613322037</v>
      </c>
    </row>
    <row r="41" spans="34:38" ht="12.75">
      <c r="AH41" s="8">
        <f>(AH32-AH27)/AH27</f>
        <v>0.07238526179702645</v>
      </c>
      <c r="AL41" s="8">
        <f>(AL32-AL27)/AL27</f>
        <v>0.07271521329330453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H76"/>
  <sheetViews>
    <sheetView workbookViewId="0" topLeftCell="A1">
      <selection activeCell="B7" sqref="B7"/>
    </sheetView>
  </sheetViews>
  <sheetFormatPr defaultColWidth="9.140625" defaultRowHeight="12.75"/>
  <cols>
    <col min="1" max="1" width="22.8515625" style="0" customWidth="1"/>
  </cols>
  <sheetData>
    <row r="1" spans="2:8" ht="12.75">
      <c r="B1" s="129" t="s">
        <v>199</v>
      </c>
      <c r="C1" s="129"/>
      <c r="D1" s="129"/>
      <c r="E1" s="129"/>
      <c r="F1" s="129"/>
      <c r="G1" s="129"/>
      <c r="H1" s="129"/>
    </row>
    <row r="2" spans="2:8" ht="12.75">
      <c r="B2" s="129" t="s">
        <v>224</v>
      </c>
      <c r="C2" s="129"/>
      <c r="D2" s="129"/>
      <c r="E2" s="129"/>
      <c r="F2" s="129"/>
      <c r="G2" s="129"/>
      <c r="H2" s="129"/>
    </row>
    <row r="4" spans="1:8" ht="12.75">
      <c r="A4" s="110" t="s">
        <v>193</v>
      </c>
      <c r="B4" s="110">
        <v>2000</v>
      </c>
      <c r="C4" s="110">
        <v>2005</v>
      </c>
      <c r="D4" s="110">
        <v>2010</v>
      </c>
      <c r="E4" s="110">
        <v>2015</v>
      </c>
      <c r="F4" s="110">
        <v>2020</v>
      </c>
      <c r="G4" s="110">
        <v>2025</v>
      </c>
      <c r="H4" s="110">
        <v>2030</v>
      </c>
    </row>
    <row r="5" spans="1:8" ht="12.75">
      <c r="A5" s="2" t="s">
        <v>194</v>
      </c>
      <c r="B5" s="34">
        <f>CalculationsHigh!B$2</f>
        <v>85.3</v>
      </c>
      <c r="C5" s="34">
        <f>CalculationsHigh!B$7</f>
        <v>67.8080017241831</v>
      </c>
      <c r="D5" s="34">
        <f>CalculationsHigh!B$12</f>
        <v>67.4900560606469</v>
      </c>
      <c r="E5" s="34">
        <f>CalculationsHigh!B$17</f>
        <v>67.38519303909936</v>
      </c>
      <c r="F5" s="34">
        <f>CalculationsHigh!B$22</f>
        <v>66.71913899271613</v>
      </c>
      <c r="G5" s="34">
        <f>CalculationsHigh!B$27</f>
        <v>66.24284931540797</v>
      </c>
      <c r="H5" s="34">
        <f>CalculationsHigh!B$32</f>
        <v>63.872105818091086</v>
      </c>
    </row>
    <row r="6" spans="1:8" ht="12.75">
      <c r="A6" s="2" t="s">
        <v>131</v>
      </c>
      <c r="B6" s="34">
        <f>CalculationsHigh!D$2</f>
        <v>144.4</v>
      </c>
      <c r="C6" s="34">
        <f>CalculationsHigh!D$7</f>
        <v>165.89020489759895</v>
      </c>
      <c r="D6" s="34">
        <f>CalculationsHigh!D$12</f>
        <v>188.80814330118835</v>
      </c>
      <c r="E6" s="34">
        <f>CalculationsHigh!D$17</f>
        <v>203.09823416830167</v>
      </c>
      <c r="F6" s="34">
        <f>CalculationsHigh!D$22</f>
        <v>216.1190919128878</v>
      </c>
      <c r="G6" s="34">
        <f>CalculationsHigh!D$27</f>
        <v>229.04578671569462</v>
      </c>
      <c r="H6" s="34">
        <f>CalculationsHigh!D$32</f>
        <v>237.36165375864275</v>
      </c>
    </row>
    <row r="7" spans="1:8" ht="12.75">
      <c r="A7" s="2" t="s">
        <v>133</v>
      </c>
      <c r="B7" s="34">
        <f>CalculationsHigh!C$2</f>
        <v>129.6</v>
      </c>
      <c r="C7" s="34">
        <f>CalculationsHigh!C$7</f>
        <v>120.68630127104754</v>
      </c>
      <c r="D7" s="34">
        <f>CalculationsHigh!C$12</f>
        <v>140.4754410278199</v>
      </c>
      <c r="E7" s="34">
        <f>CalculationsHigh!C$17</f>
        <v>153.4087025006522</v>
      </c>
      <c r="F7" s="34">
        <f>CalculationsHigh!C$22</f>
        <v>162.06300415082634</v>
      </c>
      <c r="G7" s="34">
        <f>CalculationsHigh!C$27</f>
        <v>170.80727812299497</v>
      </c>
      <c r="H7" s="34">
        <f>CalculationsHigh!C$32</f>
        <v>175.4318191519342</v>
      </c>
    </row>
    <row r="8" spans="1:8" ht="12.75">
      <c r="A8" s="2" t="s">
        <v>195</v>
      </c>
      <c r="B8" s="34">
        <f>CalculationsHigh!H$2</f>
        <v>80.2</v>
      </c>
      <c r="C8" s="34">
        <f>CalculationsHigh!H$7</f>
        <v>92.24294127313765</v>
      </c>
      <c r="D8" s="34">
        <f>CalculationsHigh!H$12</f>
        <v>104.87873057290317</v>
      </c>
      <c r="E8" s="34">
        <f>CalculationsHigh!H$17</f>
        <v>114.7524826874185</v>
      </c>
      <c r="F8" s="34">
        <f>CalculationsHigh!H$22</f>
        <v>123.34328461542106</v>
      </c>
      <c r="G8" s="34">
        <f>CalculationsHigh!H$27</f>
        <v>132.18497085451529</v>
      </c>
      <c r="H8" s="34">
        <f>CalculationsHigh!H$32</f>
        <v>139.18386277448883</v>
      </c>
    </row>
    <row r="9" spans="1:8" ht="12.75">
      <c r="A9" s="2" t="s">
        <v>196</v>
      </c>
      <c r="B9" s="34">
        <f>CalculationsHigh!G$2</f>
        <v>377.3</v>
      </c>
      <c r="C9" s="34">
        <f>CalculationsHigh!G$7</f>
        <v>421.46703359048905</v>
      </c>
      <c r="D9" s="34">
        <f>CalculationsHigh!G$12</f>
        <v>464.7734592917503</v>
      </c>
      <c r="E9" s="34">
        <f>CalculationsHigh!G$17</f>
        <v>496.6642511923444</v>
      </c>
      <c r="F9" s="34">
        <f>CalculationsHigh!G$22</f>
        <v>527.1337125379874</v>
      </c>
      <c r="G9" s="34">
        <f>CalculationsHigh!G$27</f>
        <v>559.254450061774</v>
      </c>
      <c r="H9" s="34">
        <f>CalculationsHigh!G$32</f>
        <v>584.325188080288</v>
      </c>
    </row>
    <row r="10" spans="1:8" ht="12.75">
      <c r="A10" s="2" t="s">
        <v>197</v>
      </c>
      <c r="B10" s="34">
        <f>CalculationsHigh!E$2</f>
        <v>143.1</v>
      </c>
      <c r="C10" s="34">
        <f>CalculationsHigh!E$7</f>
        <v>156.6354853336964</v>
      </c>
      <c r="D10" s="34">
        <f>CalculationsHigh!E$12</f>
        <v>168.73524213254734</v>
      </c>
      <c r="E10" s="34">
        <f>CalculationsHigh!E$17</f>
        <v>179.45974378914443</v>
      </c>
      <c r="F10" s="34">
        <f>CalculationsHigh!E$22</f>
        <v>189.09168337549946</v>
      </c>
      <c r="G10" s="34">
        <f>CalculationsHigh!E$27</f>
        <v>198.8467609990923</v>
      </c>
      <c r="H10" s="34">
        <f>CalculationsHigh!E$32</f>
        <v>205.53059931095854</v>
      </c>
    </row>
    <row r="11" spans="1:8" ht="12.75">
      <c r="A11" s="2" t="s">
        <v>214</v>
      </c>
      <c r="B11" s="34">
        <f>SUM(B12:B15)</f>
        <v>1084.382473702185</v>
      </c>
      <c r="C11" s="34">
        <f aca="true" t="shared" si="0" ref="C11:H11">SUM(C12:C15)</f>
        <v>1247.555672270555</v>
      </c>
      <c r="D11" s="34">
        <f t="shared" si="0"/>
        <v>1533.224118301574</v>
      </c>
      <c r="E11" s="34">
        <f t="shared" si="0"/>
        <v>1703.7432862923815</v>
      </c>
      <c r="F11" s="34">
        <f t="shared" si="0"/>
        <v>1892.5136284007303</v>
      </c>
      <c r="G11" s="34">
        <f t="shared" si="0"/>
        <v>2100.071194081024</v>
      </c>
      <c r="H11" s="34">
        <f t="shared" si="0"/>
        <v>2277.614791069222</v>
      </c>
    </row>
    <row r="12" spans="1:8" ht="12.75">
      <c r="A12" s="2" t="s">
        <v>216</v>
      </c>
      <c r="B12" s="34">
        <f>CalculationsHigh!J$2</f>
        <v>350.7201089230505</v>
      </c>
      <c r="C12" s="34">
        <f>CalculationsHigh!J$7</f>
        <v>375.01050331418685</v>
      </c>
      <c r="D12" s="34">
        <f>CalculationsHigh!J$12</f>
        <v>502.91135691050147</v>
      </c>
      <c r="E12" s="34">
        <f>CalculationsHigh!J$17</f>
        <v>588.7639346440502</v>
      </c>
      <c r="F12" s="34">
        <f>CalculationsHigh!J$22</f>
        <v>693.7183457320641</v>
      </c>
      <c r="G12" s="34">
        <f>CalculationsHigh!J$27</f>
        <v>814.8934643171417</v>
      </c>
      <c r="H12" s="34">
        <f>CalculationsHigh!J$32</f>
        <v>940.7243828314399</v>
      </c>
    </row>
    <row r="13" spans="1:8" ht="12.75">
      <c r="A13" s="2" t="s">
        <v>217</v>
      </c>
      <c r="B13" s="34">
        <f>CalculationsHigh!I$2</f>
        <v>161.7932352814788</v>
      </c>
      <c r="C13" s="34">
        <f>CalculationsHigh!I$7</f>
        <v>196.4591317726588</v>
      </c>
      <c r="D13" s="34">
        <f>CalculationsHigh!I$12</f>
        <v>236.41770860510906</v>
      </c>
      <c r="E13" s="34">
        <f>CalculationsHigh!I$17</f>
        <v>264.2470503729661</v>
      </c>
      <c r="F13" s="34">
        <f>CalculationsHigh!I$22</f>
        <v>306.62711011139993</v>
      </c>
      <c r="G13" s="34">
        <f>CalculationsHigh!I$27</f>
        <v>352.61182396458923</v>
      </c>
      <c r="H13" s="34">
        <f>CalculationsHigh!I$32</f>
        <v>396.1732801918022</v>
      </c>
    </row>
    <row r="14" spans="1:8" ht="12.75">
      <c r="A14" s="2" t="s">
        <v>218</v>
      </c>
      <c r="B14" s="34">
        <f>CalculationsHigh!F$2</f>
        <v>67.80163633361755</v>
      </c>
      <c r="C14" s="34">
        <f>CalculationsHigh!F$7</f>
        <v>68.81195127550392</v>
      </c>
      <c r="D14" s="34">
        <f>CalculationsHigh!F$12</f>
        <v>73.20908329871656</v>
      </c>
      <c r="E14" s="34">
        <f>CalculationsHigh!F$17</f>
        <v>75.80380601618779</v>
      </c>
      <c r="F14" s="34">
        <f>CalculationsHigh!F$22</f>
        <v>78.22222862895474</v>
      </c>
      <c r="G14" s="34">
        <f>CalculationsHigh!F$27</f>
        <v>80.79413603875835</v>
      </c>
      <c r="H14" s="34">
        <f>CalculationsHigh!F$32</f>
        <v>83.71242130133392</v>
      </c>
    </row>
    <row r="15" spans="1:8" ht="12.75">
      <c r="A15" s="2" t="s">
        <v>219</v>
      </c>
      <c r="B15" s="34">
        <f>CalculationsHigh!K$2</f>
        <v>504.0674931640383</v>
      </c>
      <c r="C15" s="34">
        <f>CalculationsHigh!K$7</f>
        <v>607.2740859082056</v>
      </c>
      <c r="D15" s="34">
        <f>CalculationsHigh!K$12</f>
        <v>720.6859694872469</v>
      </c>
      <c r="E15" s="34">
        <f>CalculationsHigh!K$17</f>
        <v>774.9284952591776</v>
      </c>
      <c r="F15" s="34">
        <f>CalculationsHigh!K$22</f>
        <v>813.9459439283116</v>
      </c>
      <c r="G15" s="34">
        <f>CalculationsHigh!K$27</f>
        <v>851.7717697605348</v>
      </c>
      <c r="H15" s="34">
        <f>CalculationsHigh!K$32</f>
        <v>857.0047067446459</v>
      </c>
    </row>
    <row r="16" spans="1:8" ht="12.75">
      <c r="A16" s="2" t="s">
        <v>215</v>
      </c>
      <c r="B16" s="34">
        <f>SUM(B17:B19)</f>
        <v>666.6759999999999</v>
      </c>
      <c r="C16" s="34">
        <f aca="true" t="shared" si="1" ref="C16:H16">SUM(C17:C19)</f>
        <v>686.2808177949546</v>
      </c>
      <c r="D16" s="34">
        <f t="shared" si="1"/>
        <v>702.5706143245376</v>
      </c>
      <c r="E16" s="34">
        <f t="shared" si="1"/>
        <v>720.479806237694</v>
      </c>
      <c r="F16" s="34">
        <f t="shared" si="1"/>
        <v>737.3506704846941</v>
      </c>
      <c r="G16" s="34">
        <f t="shared" si="1"/>
        <v>754.8705276140893</v>
      </c>
      <c r="H16" s="34">
        <f t="shared" si="1"/>
        <v>768.6863648607349</v>
      </c>
    </row>
    <row r="17" spans="1:8" ht="12.75">
      <c r="A17" s="2" t="s">
        <v>221</v>
      </c>
      <c r="B17" s="34">
        <f>CalculationsHigh!P$2</f>
        <v>342.57599999999996</v>
      </c>
      <c r="C17" s="34">
        <f>CalculationsHigh!P$7</f>
        <v>333.311</v>
      </c>
      <c r="D17" s="34">
        <f>CalculationsHigh!P$12</f>
        <v>332.41400000000004</v>
      </c>
      <c r="E17" s="34">
        <f>CalculationsHigh!P$17</f>
        <v>331.74300000000005</v>
      </c>
      <c r="F17" s="34">
        <f>CalculationsHigh!P$22</f>
        <v>331.077</v>
      </c>
      <c r="G17" s="34">
        <f>CalculationsHigh!P$27</f>
        <v>330.41100000000006</v>
      </c>
      <c r="H17" s="34">
        <f>CalculationsHigh!P$32</f>
        <v>330.41100000000006</v>
      </c>
    </row>
    <row r="18" spans="1:8" ht="12.75">
      <c r="A18" s="2" t="s">
        <v>222</v>
      </c>
      <c r="B18" s="34">
        <f>CalculationsHigh!T$2</f>
        <v>79.3</v>
      </c>
      <c r="C18" s="34">
        <f>CalculationsHigh!T$7</f>
        <v>80.6</v>
      </c>
      <c r="D18" s="34">
        <f>CalculationsHigh!T$12</f>
        <v>82</v>
      </c>
      <c r="E18" s="34">
        <f>CalculationsHigh!T$17</f>
        <v>83</v>
      </c>
      <c r="F18" s="34">
        <f>CalculationsHigh!T$22</f>
        <v>83.6</v>
      </c>
      <c r="G18" s="34">
        <f>CalculationsHigh!T$27</f>
        <v>83.8</v>
      </c>
      <c r="H18" s="34">
        <f>CalculationsHigh!T$32</f>
        <v>83.8</v>
      </c>
    </row>
    <row r="19" spans="1:8" ht="12.75">
      <c r="A19" s="2" t="s">
        <v>220</v>
      </c>
      <c r="B19" s="34">
        <f>CalculationsHigh!L$2</f>
        <v>244.8</v>
      </c>
      <c r="C19" s="34">
        <f>CalculationsHigh!L$7</f>
        <v>272.36981779495466</v>
      </c>
      <c r="D19" s="34">
        <f>CalculationsHigh!L$12</f>
        <v>288.15661432453754</v>
      </c>
      <c r="E19" s="34">
        <f>CalculationsHigh!L$17</f>
        <v>305.73680623769394</v>
      </c>
      <c r="F19" s="34">
        <f>CalculationsHigh!L$22</f>
        <v>322.6736704846941</v>
      </c>
      <c r="G19" s="34">
        <f>CalculationsHigh!L$27</f>
        <v>340.65952761408914</v>
      </c>
      <c r="H19" s="34">
        <f>CalculationsHigh!L$32</f>
        <v>354.4753648607348</v>
      </c>
    </row>
    <row r="20" spans="1:8" ht="12.75">
      <c r="A20" s="2" t="s">
        <v>198</v>
      </c>
      <c r="B20" s="34">
        <f>CalculationsHigh!R$2</f>
        <v>157.9</v>
      </c>
      <c r="C20" s="34">
        <f>CalculationsHigh!R$7</f>
        <v>172.7</v>
      </c>
      <c r="D20" s="34">
        <f>CalculationsHigh!R$12</f>
        <v>197.3</v>
      </c>
      <c r="E20" s="34">
        <f>CalculationsHigh!R$17</f>
        <v>213.4</v>
      </c>
      <c r="F20" s="34">
        <f>CalculationsHigh!R$22</f>
        <v>229.8</v>
      </c>
      <c r="G20" s="34">
        <f>CalculationsHigh!R$27</f>
        <v>247.7</v>
      </c>
      <c r="H20" s="34">
        <f>CalculationsHigh!R$32</f>
        <v>262.1</v>
      </c>
    </row>
    <row r="22" spans="1:8" ht="12.75">
      <c r="A22" s="2" t="s">
        <v>209</v>
      </c>
      <c r="B22" s="34">
        <f aca="true" t="shared" si="2" ref="B22:H22">SUM(B5:B20)-B11-B16</f>
        <v>2868.858473702185</v>
      </c>
      <c r="C22" s="34">
        <f t="shared" si="2"/>
        <v>3131.266458155661</v>
      </c>
      <c r="D22" s="34">
        <f t="shared" si="2"/>
        <v>3568.255805012968</v>
      </c>
      <c r="E22" s="34">
        <f t="shared" si="2"/>
        <v>3852.391699907036</v>
      </c>
      <c r="F22" s="34">
        <f t="shared" si="2"/>
        <v>4144.134214470763</v>
      </c>
      <c r="G22" s="34">
        <f t="shared" si="2"/>
        <v>4459.023817764592</v>
      </c>
      <c r="H22" s="34">
        <f t="shared" si="2"/>
        <v>4714.10638482436</v>
      </c>
    </row>
    <row r="23" spans="1:8" ht="12.75">
      <c r="A23" s="2" t="s">
        <v>210</v>
      </c>
      <c r="B23" s="34">
        <f>CalculationsHigh!AN2</f>
        <v>4544.9</v>
      </c>
      <c r="C23" s="34">
        <f>CalculationsHigh!AN7</f>
        <v>4957.3</v>
      </c>
      <c r="D23" s="34">
        <f>CalculationsHigh!AN12</f>
        <v>5551.8</v>
      </c>
      <c r="E23" s="34">
        <f>CalculationsHigh!AN17</f>
        <v>6084.1</v>
      </c>
      <c r="F23" s="34">
        <f>CalculationsHigh!AN22</f>
        <v>6760.8</v>
      </c>
      <c r="G23" s="34">
        <f>CalculationsHigh!AN27</f>
        <v>7457.4</v>
      </c>
      <c r="H23" s="34">
        <f>CalculationsHigh!AN32</f>
        <v>7997.2</v>
      </c>
    </row>
    <row r="24" spans="1:8" ht="12.75">
      <c r="A24" s="2" t="s">
        <v>211</v>
      </c>
      <c r="B24" s="34">
        <f>CalculationsHigh!$AQ2</f>
        <v>1707.8015707448765</v>
      </c>
      <c r="C24" s="34">
        <f>CalculationsHigh!$AQ7</f>
        <v>1846.958174904943</v>
      </c>
      <c r="D24" s="34">
        <f>CalculationsHigh!$AQ12</f>
        <v>2068.897338403042</v>
      </c>
      <c r="E24" s="34">
        <f>CalculationsHigh!$AQ17</f>
        <v>2250.8301886792456</v>
      </c>
      <c r="F24" s="34">
        <f>CalculationsHigh!$AQ22</f>
        <v>2502.4905660377362</v>
      </c>
      <c r="G24" s="34">
        <f>CalculationsHigh!$AQ27</f>
        <v>2761.698113207547</v>
      </c>
      <c r="H24" s="34">
        <f>CalculationsHigh!$AQ32</f>
        <v>2962.5283018867926</v>
      </c>
    </row>
    <row r="26" spans="2:8" ht="12.75">
      <c r="B26" s="129" t="s">
        <v>207</v>
      </c>
      <c r="C26" s="129"/>
      <c r="D26" s="129"/>
      <c r="E26" s="129"/>
      <c r="F26" s="129"/>
      <c r="G26" s="129"/>
      <c r="H26" s="129"/>
    </row>
    <row r="27" spans="2:8" ht="12.75">
      <c r="B27" s="129" t="s">
        <v>224</v>
      </c>
      <c r="C27" s="129"/>
      <c r="D27" s="129"/>
      <c r="E27" s="129"/>
      <c r="F27" s="129"/>
      <c r="G27" s="129"/>
      <c r="H27" s="129"/>
    </row>
    <row r="28" spans="2:8" ht="12.75">
      <c r="B28" s="29"/>
      <c r="C28" s="29"/>
      <c r="D28" s="29"/>
      <c r="E28" s="29"/>
      <c r="F28" s="29"/>
      <c r="G28" s="29"/>
      <c r="H28" s="29"/>
    </row>
    <row r="29" spans="2:7" ht="12.75">
      <c r="B29" s="30" t="s">
        <v>201</v>
      </c>
      <c r="C29" s="30" t="s">
        <v>202</v>
      </c>
      <c r="D29" s="30" t="s">
        <v>203</v>
      </c>
      <c r="E29" s="30" t="s">
        <v>204</v>
      </c>
      <c r="F29" s="30" t="s">
        <v>205</v>
      </c>
      <c r="G29" s="30" t="s">
        <v>206</v>
      </c>
    </row>
    <row r="30" spans="1:7" ht="12.75">
      <c r="A30" s="110" t="s">
        <v>193</v>
      </c>
      <c r="B30" s="110">
        <v>2005</v>
      </c>
      <c r="C30" s="110">
        <v>2010</v>
      </c>
      <c r="D30" s="110">
        <v>2015</v>
      </c>
      <c r="E30" s="110">
        <v>2020</v>
      </c>
      <c r="F30" s="110">
        <v>2025</v>
      </c>
      <c r="G30" s="110">
        <v>2030</v>
      </c>
    </row>
    <row r="31" spans="1:7" ht="12.75">
      <c r="A31" s="2" t="s">
        <v>194</v>
      </c>
      <c r="B31" s="34">
        <f aca="true" t="shared" si="3" ref="B31:G31">C5-B5</f>
        <v>-17.491998275816897</v>
      </c>
      <c r="C31" s="34">
        <f t="shared" si="3"/>
        <v>-0.317945663536193</v>
      </c>
      <c r="D31" s="34">
        <f t="shared" si="3"/>
        <v>-0.10486302154754412</v>
      </c>
      <c r="E31" s="34">
        <f t="shared" si="3"/>
        <v>-0.6660540463832376</v>
      </c>
      <c r="F31" s="34">
        <f t="shared" si="3"/>
        <v>-0.4762896773081593</v>
      </c>
      <c r="G31" s="34">
        <f t="shared" si="3"/>
        <v>-2.37074349731688</v>
      </c>
    </row>
    <row r="32" spans="1:7" ht="12.75">
      <c r="A32" s="2" t="s">
        <v>131</v>
      </c>
      <c r="B32" s="34">
        <f aca="true" t="shared" si="4" ref="B32:G46">C6-B6</f>
        <v>21.490204897598943</v>
      </c>
      <c r="C32" s="34">
        <f t="shared" si="4"/>
        <v>22.917938403589403</v>
      </c>
      <c r="D32" s="34">
        <f t="shared" si="4"/>
        <v>14.29009086711332</v>
      </c>
      <c r="E32" s="34">
        <f t="shared" si="4"/>
        <v>13.020857744586124</v>
      </c>
      <c r="F32" s="34">
        <f t="shared" si="4"/>
        <v>12.926694802806821</v>
      </c>
      <c r="G32" s="34">
        <f t="shared" si="4"/>
        <v>8.315867042948128</v>
      </c>
    </row>
    <row r="33" spans="1:7" ht="12.75">
      <c r="A33" s="2" t="s">
        <v>133</v>
      </c>
      <c r="B33" s="34">
        <f t="shared" si="4"/>
        <v>-8.913698728952454</v>
      </c>
      <c r="C33" s="34">
        <f t="shared" si="4"/>
        <v>19.789139756772357</v>
      </c>
      <c r="D33" s="34">
        <f t="shared" si="4"/>
        <v>12.9332614728323</v>
      </c>
      <c r="E33" s="34">
        <f t="shared" si="4"/>
        <v>8.654301650174148</v>
      </c>
      <c r="F33" s="34">
        <f t="shared" si="4"/>
        <v>8.744273972168628</v>
      </c>
      <c r="G33" s="34">
        <f t="shared" si="4"/>
        <v>4.624541028939234</v>
      </c>
    </row>
    <row r="34" spans="1:7" ht="12.75">
      <c r="A34" s="2" t="s">
        <v>195</v>
      </c>
      <c r="B34" s="34">
        <f t="shared" si="4"/>
        <v>12.042941273137643</v>
      </c>
      <c r="C34" s="34">
        <f t="shared" si="4"/>
        <v>12.63578929976552</v>
      </c>
      <c r="D34" s="34">
        <f t="shared" si="4"/>
        <v>9.87375211451534</v>
      </c>
      <c r="E34" s="34">
        <f t="shared" si="4"/>
        <v>8.590801928002548</v>
      </c>
      <c r="F34" s="34">
        <f t="shared" si="4"/>
        <v>8.84168623909423</v>
      </c>
      <c r="G34" s="34">
        <f t="shared" si="4"/>
        <v>6.998891919973545</v>
      </c>
    </row>
    <row r="35" spans="1:7" ht="12.75">
      <c r="A35" s="2" t="s">
        <v>196</v>
      </c>
      <c r="B35" s="34">
        <f t="shared" si="4"/>
        <v>44.16703359048904</v>
      </c>
      <c r="C35" s="34">
        <f t="shared" si="4"/>
        <v>43.306425701261276</v>
      </c>
      <c r="D35" s="34">
        <f t="shared" si="4"/>
        <v>31.89079190059408</v>
      </c>
      <c r="E35" s="34">
        <f t="shared" si="4"/>
        <v>30.469461345643026</v>
      </c>
      <c r="F35" s="34">
        <f t="shared" si="4"/>
        <v>32.1207375237866</v>
      </c>
      <c r="G35" s="34">
        <f t="shared" si="4"/>
        <v>25.070738018513907</v>
      </c>
    </row>
    <row r="36" spans="1:7" ht="12.75">
      <c r="A36" s="2" t="s">
        <v>197</v>
      </c>
      <c r="B36" s="34">
        <f t="shared" si="4"/>
        <v>13.535485333696414</v>
      </c>
      <c r="C36" s="34">
        <f t="shared" si="4"/>
        <v>12.099756798850933</v>
      </c>
      <c r="D36" s="34">
        <f t="shared" si="4"/>
        <v>10.724501656597084</v>
      </c>
      <c r="E36" s="34">
        <f t="shared" si="4"/>
        <v>9.631939586355031</v>
      </c>
      <c r="F36" s="34">
        <f t="shared" si="4"/>
        <v>9.755077623592854</v>
      </c>
      <c r="G36" s="34">
        <f t="shared" si="4"/>
        <v>6.683838311866225</v>
      </c>
    </row>
    <row r="37" spans="1:7" ht="12.75">
      <c r="A37" s="2" t="s">
        <v>214</v>
      </c>
      <c r="B37" s="34">
        <f t="shared" si="4"/>
        <v>163.17319856837003</v>
      </c>
      <c r="C37" s="34">
        <f t="shared" si="4"/>
        <v>285.6684460310189</v>
      </c>
      <c r="D37" s="34">
        <f t="shared" si="4"/>
        <v>170.51916799080755</v>
      </c>
      <c r="E37" s="34">
        <f t="shared" si="4"/>
        <v>188.7703421083488</v>
      </c>
      <c r="F37" s="34">
        <f t="shared" si="4"/>
        <v>207.55756568029346</v>
      </c>
      <c r="G37" s="34">
        <f t="shared" si="4"/>
        <v>177.54359698819826</v>
      </c>
    </row>
    <row r="38" spans="1:7" ht="12.75">
      <c r="A38" s="2" t="s">
        <v>216</v>
      </c>
      <c r="B38" s="34">
        <f t="shared" si="4"/>
        <v>24.290394391136374</v>
      </c>
      <c r="C38" s="34">
        <f t="shared" si="4"/>
        <v>127.90085359631462</v>
      </c>
      <c r="D38" s="34">
        <f t="shared" si="4"/>
        <v>85.85257773354874</v>
      </c>
      <c r="E38" s="34">
        <f t="shared" si="4"/>
        <v>104.9544110880139</v>
      </c>
      <c r="F38" s="34">
        <f t="shared" si="4"/>
        <v>121.1751185850776</v>
      </c>
      <c r="G38" s="34">
        <f t="shared" si="4"/>
        <v>125.83091851429822</v>
      </c>
    </row>
    <row r="39" spans="1:7" ht="12.75">
      <c r="A39" s="2" t="s">
        <v>217</v>
      </c>
      <c r="B39" s="34">
        <f t="shared" si="4"/>
        <v>34.66589649118001</v>
      </c>
      <c r="C39" s="34">
        <f t="shared" si="4"/>
        <v>39.95857683245026</v>
      </c>
      <c r="D39" s="34">
        <f t="shared" si="4"/>
        <v>27.829341767857045</v>
      </c>
      <c r="E39" s="34">
        <f t="shared" si="4"/>
        <v>42.38005973843383</v>
      </c>
      <c r="F39" s="34">
        <f t="shared" si="4"/>
        <v>45.984713853189305</v>
      </c>
      <c r="G39" s="34">
        <f t="shared" si="4"/>
        <v>43.56145622721294</v>
      </c>
    </row>
    <row r="40" spans="1:7" ht="12.75">
      <c r="A40" s="2" t="s">
        <v>218</v>
      </c>
      <c r="B40" s="34">
        <f t="shared" si="4"/>
        <v>1.0103149418863637</v>
      </c>
      <c r="C40" s="34">
        <f t="shared" si="4"/>
        <v>4.397132023212649</v>
      </c>
      <c r="D40" s="34">
        <f t="shared" si="4"/>
        <v>2.594722717471228</v>
      </c>
      <c r="E40" s="34">
        <f t="shared" si="4"/>
        <v>2.418422612766946</v>
      </c>
      <c r="F40" s="34">
        <f t="shared" si="4"/>
        <v>2.5719074098036145</v>
      </c>
      <c r="G40" s="34">
        <f t="shared" si="4"/>
        <v>2.9182852625755658</v>
      </c>
    </row>
    <row r="41" spans="1:7" ht="12.75">
      <c r="A41" s="2" t="s">
        <v>219</v>
      </c>
      <c r="B41" s="34">
        <f t="shared" si="4"/>
        <v>103.20659274416732</v>
      </c>
      <c r="C41" s="34">
        <f t="shared" si="4"/>
        <v>113.41188357904127</v>
      </c>
      <c r="D41" s="34">
        <f t="shared" si="4"/>
        <v>54.24252577193067</v>
      </c>
      <c r="E41" s="34">
        <f t="shared" si="4"/>
        <v>39.01744866913407</v>
      </c>
      <c r="F41" s="34">
        <f t="shared" si="4"/>
        <v>37.82582583222313</v>
      </c>
      <c r="G41" s="34">
        <f t="shared" si="4"/>
        <v>5.23293698411112</v>
      </c>
    </row>
    <row r="42" spans="1:7" ht="12.75">
      <c r="A42" s="2" t="s">
        <v>215</v>
      </c>
      <c r="B42" s="34">
        <f t="shared" si="4"/>
        <v>19.60481779495467</v>
      </c>
      <c r="C42" s="34">
        <f t="shared" si="4"/>
        <v>16.289796529582986</v>
      </c>
      <c r="D42" s="34">
        <f t="shared" si="4"/>
        <v>17.909191913156405</v>
      </c>
      <c r="E42" s="34">
        <f t="shared" si="4"/>
        <v>16.8708642470001</v>
      </c>
      <c r="F42" s="34">
        <f t="shared" si="4"/>
        <v>17.519857129395177</v>
      </c>
      <c r="G42" s="34">
        <f t="shared" si="4"/>
        <v>13.815837246645629</v>
      </c>
    </row>
    <row r="43" spans="1:7" ht="12.75">
      <c r="A43" s="2" t="s">
        <v>221</v>
      </c>
      <c r="B43" s="34">
        <f t="shared" si="4"/>
        <v>-9.264999999999986</v>
      </c>
      <c r="C43" s="34">
        <f t="shared" si="4"/>
        <v>-0.8969999999999345</v>
      </c>
      <c r="D43" s="34">
        <f t="shared" si="4"/>
        <v>-0.6709999999999923</v>
      </c>
      <c r="E43" s="34">
        <f t="shared" si="4"/>
        <v>-0.6660000000000537</v>
      </c>
      <c r="F43" s="34">
        <f t="shared" si="4"/>
        <v>-0.66599999999994</v>
      </c>
      <c r="G43" s="34">
        <f t="shared" si="4"/>
        <v>0</v>
      </c>
    </row>
    <row r="44" spans="1:7" ht="12.75">
      <c r="A44" s="2" t="s">
        <v>222</v>
      </c>
      <c r="B44" s="34">
        <f t="shared" si="4"/>
        <v>1.2999999999999972</v>
      </c>
      <c r="C44" s="34">
        <f t="shared" si="4"/>
        <v>1.4000000000000057</v>
      </c>
      <c r="D44" s="34">
        <f t="shared" si="4"/>
        <v>1</v>
      </c>
      <c r="E44" s="34">
        <f t="shared" si="4"/>
        <v>0.5999999999999943</v>
      </c>
      <c r="F44" s="34">
        <f t="shared" si="4"/>
        <v>0.20000000000000284</v>
      </c>
      <c r="G44" s="34">
        <f t="shared" si="4"/>
        <v>0</v>
      </c>
    </row>
    <row r="45" spans="1:7" ht="12.75">
      <c r="A45" s="2" t="s">
        <v>220</v>
      </c>
      <c r="B45" s="34">
        <f t="shared" si="4"/>
        <v>27.569817794954645</v>
      </c>
      <c r="C45" s="34">
        <f t="shared" si="4"/>
        <v>15.786796529582887</v>
      </c>
      <c r="D45" s="34">
        <f t="shared" si="4"/>
        <v>17.580191913156398</v>
      </c>
      <c r="E45" s="34">
        <f t="shared" si="4"/>
        <v>16.936864247000187</v>
      </c>
      <c r="F45" s="34">
        <f t="shared" si="4"/>
        <v>17.985857129395015</v>
      </c>
      <c r="G45" s="34">
        <f t="shared" si="4"/>
        <v>13.815837246645685</v>
      </c>
    </row>
    <row r="46" spans="1:7" ht="12.75">
      <c r="A46" s="2" t="s">
        <v>198</v>
      </c>
      <c r="B46" s="34">
        <f t="shared" si="4"/>
        <v>14.799999999999983</v>
      </c>
      <c r="C46" s="34">
        <f t="shared" si="4"/>
        <v>24.600000000000023</v>
      </c>
      <c r="D46" s="34">
        <f t="shared" si="4"/>
        <v>16.099999999999994</v>
      </c>
      <c r="E46" s="34">
        <f t="shared" si="4"/>
        <v>16.400000000000006</v>
      </c>
      <c r="F46" s="34">
        <f t="shared" si="4"/>
        <v>17.899999999999977</v>
      </c>
      <c r="G46" s="34">
        <f t="shared" si="4"/>
        <v>14.400000000000034</v>
      </c>
    </row>
    <row r="47" spans="1:7" ht="12.75">
      <c r="A47" s="2"/>
      <c r="B47" s="108"/>
      <c r="C47" s="108"/>
      <c r="D47" s="108"/>
      <c r="E47" s="108"/>
      <c r="F47" s="108"/>
      <c r="G47" s="108"/>
    </row>
    <row r="48" spans="1:7" ht="12.75">
      <c r="A48" s="2" t="s">
        <v>209</v>
      </c>
      <c r="B48" s="34">
        <f aca="true" t="shared" si="5" ref="B48:G48">SUM(B31:B46)-B37-B42</f>
        <v>262.4079844534774</v>
      </c>
      <c r="C48" s="34">
        <f t="shared" si="5"/>
        <v>436.989346857305</v>
      </c>
      <c r="D48" s="34">
        <f t="shared" si="5"/>
        <v>284.13589489406866</v>
      </c>
      <c r="E48" s="34">
        <f t="shared" si="5"/>
        <v>291.74251456372656</v>
      </c>
      <c r="F48" s="34">
        <f t="shared" si="5"/>
        <v>314.88960329382974</v>
      </c>
      <c r="G48" s="34">
        <f t="shared" si="5"/>
        <v>255.08256705976777</v>
      </c>
    </row>
    <row r="49" spans="1:7" ht="12.75">
      <c r="A49" s="2" t="s">
        <v>210</v>
      </c>
      <c r="B49" s="34">
        <f aca="true" t="shared" si="6" ref="B49:G50">C23-B23</f>
        <v>412.40000000000055</v>
      </c>
      <c r="C49" s="34">
        <f t="shared" si="6"/>
        <v>594.5</v>
      </c>
      <c r="D49" s="34">
        <f t="shared" si="6"/>
        <v>532.3000000000002</v>
      </c>
      <c r="E49" s="34">
        <f t="shared" si="6"/>
        <v>676.6999999999998</v>
      </c>
      <c r="F49" s="34">
        <f t="shared" si="6"/>
        <v>696.5999999999995</v>
      </c>
      <c r="G49" s="34">
        <f t="shared" si="6"/>
        <v>539.8000000000002</v>
      </c>
    </row>
    <row r="50" spans="1:7" ht="12.75">
      <c r="A50" s="2" t="s">
        <v>211</v>
      </c>
      <c r="B50" s="34">
        <f t="shared" si="6"/>
        <v>139.15660416006654</v>
      </c>
      <c r="C50" s="34">
        <f t="shared" si="6"/>
        <v>221.93916349809888</v>
      </c>
      <c r="D50" s="34">
        <f t="shared" si="6"/>
        <v>181.93285027620368</v>
      </c>
      <c r="E50" s="34">
        <f t="shared" si="6"/>
        <v>251.66037735849068</v>
      </c>
      <c r="F50" s="34">
        <f t="shared" si="6"/>
        <v>259.2075471698108</v>
      </c>
      <c r="G50" s="34">
        <f t="shared" si="6"/>
        <v>200.83018867924557</v>
      </c>
    </row>
    <row r="51" ht="12.75">
      <c r="A51" s="2"/>
    </row>
    <row r="52" spans="2:8" ht="12.75">
      <c r="B52" s="129" t="s">
        <v>208</v>
      </c>
      <c r="C52" s="129"/>
      <c r="D52" s="129"/>
      <c r="E52" s="129"/>
      <c r="F52" s="129"/>
      <c r="G52" s="129"/>
      <c r="H52" s="129"/>
    </row>
    <row r="53" spans="2:8" ht="12.75">
      <c r="B53" s="129" t="s">
        <v>224</v>
      </c>
      <c r="C53" s="129"/>
      <c r="D53" s="129"/>
      <c r="E53" s="129"/>
      <c r="F53" s="129"/>
      <c r="G53" s="129"/>
      <c r="H53" s="129"/>
    </row>
    <row r="54" spans="2:8" ht="12.75">
      <c r="B54" s="29"/>
      <c r="C54" s="29"/>
      <c r="D54" s="29"/>
      <c r="E54" s="29"/>
      <c r="F54" s="29"/>
      <c r="G54" s="29"/>
      <c r="H54" s="29"/>
    </row>
    <row r="55" spans="2:7" ht="12.75">
      <c r="B55" s="30" t="s">
        <v>201</v>
      </c>
      <c r="C55" s="30" t="s">
        <v>202</v>
      </c>
      <c r="D55" s="30" t="s">
        <v>203</v>
      </c>
      <c r="E55" s="30" t="s">
        <v>204</v>
      </c>
      <c r="F55" s="30" t="s">
        <v>205</v>
      </c>
      <c r="G55" s="30" t="s">
        <v>206</v>
      </c>
    </row>
    <row r="56" spans="1:7" ht="12.75">
      <c r="A56" s="110" t="s">
        <v>193</v>
      </c>
      <c r="B56" s="110">
        <v>2005</v>
      </c>
      <c r="C56" s="110">
        <v>2010</v>
      </c>
      <c r="D56" s="110">
        <v>2015</v>
      </c>
      <c r="E56" s="110">
        <v>2020</v>
      </c>
      <c r="F56" s="110">
        <v>2025</v>
      </c>
      <c r="G56" s="110">
        <v>2030</v>
      </c>
    </row>
    <row r="57" spans="1:7" ht="12.75">
      <c r="A57" s="2" t="s">
        <v>194</v>
      </c>
      <c r="B57" s="5">
        <f aca="true" t="shared" si="7" ref="B57:G57">(C5-B5)/B5</f>
        <v>-0.20506445809867407</v>
      </c>
      <c r="C57" s="5">
        <f t="shared" si="7"/>
        <v>-0.00468891068091748</v>
      </c>
      <c r="D57" s="5">
        <f t="shared" si="7"/>
        <v>-0.0015537551406582576</v>
      </c>
      <c r="E57" s="5">
        <f t="shared" si="7"/>
        <v>-0.009884278969072161</v>
      </c>
      <c r="F57" s="5">
        <f t="shared" si="7"/>
        <v>-0.007138726375952737</v>
      </c>
      <c r="G57" s="5">
        <f t="shared" si="7"/>
        <v>-0.03578867035185713</v>
      </c>
    </row>
    <row r="58" spans="1:7" ht="12.75">
      <c r="A58" s="2" t="s">
        <v>131</v>
      </c>
      <c r="B58" s="5">
        <f aca="true" t="shared" si="8" ref="B58:G72">(C6-B6)/B6</f>
        <v>0.14882413363988187</v>
      </c>
      <c r="C58" s="5">
        <f t="shared" si="8"/>
        <v>0.13815124538387444</v>
      </c>
      <c r="D58" s="5">
        <f t="shared" si="8"/>
        <v>0.07568577613899655</v>
      </c>
      <c r="E58" s="5">
        <f t="shared" si="8"/>
        <v>0.06411113222085482</v>
      </c>
      <c r="F58" s="5">
        <f t="shared" si="8"/>
        <v>0.05981283138102972</v>
      </c>
      <c r="G58" s="5">
        <f t="shared" si="8"/>
        <v>0.03630657067388138</v>
      </c>
    </row>
    <row r="59" spans="1:7" ht="12.75">
      <c r="A59" s="2" t="s">
        <v>133</v>
      </c>
      <c r="B59" s="5">
        <f t="shared" si="8"/>
        <v>-0.06877853957525042</v>
      </c>
      <c r="C59" s="5">
        <f t="shared" si="8"/>
        <v>0.16397171467147897</v>
      </c>
      <c r="D59" s="5">
        <f t="shared" si="8"/>
        <v>0.09206777624760035</v>
      </c>
      <c r="E59" s="5">
        <f t="shared" si="8"/>
        <v>0.05641336840155698</v>
      </c>
      <c r="F59" s="5">
        <f t="shared" si="8"/>
        <v>0.0539560155507832</v>
      </c>
      <c r="G59" s="5">
        <f t="shared" si="8"/>
        <v>0.027074613445975015</v>
      </c>
    </row>
    <row r="60" spans="1:7" ht="12.75">
      <c r="A60" s="2" t="s">
        <v>195</v>
      </c>
      <c r="B60" s="5">
        <f t="shared" si="8"/>
        <v>0.15016136250795065</v>
      </c>
      <c r="C60" s="5">
        <f t="shared" si="8"/>
        <v>0.13698380738261678</v>
      </c>
      <c r="D60" s="5">
        <f t="shared" si="8"/>
        <v>0.09414446628577289</v>
      </c>
      <c r="E60" s="5">
        <f t="shared" si="8"/>
        <v>0.07486375655508538</v>
      </c>
      <c r="F60" s="5">
        <f t="shared" si="8"/>
        <v>0.07168356401941313</v>
      </c>
      <c r="G60" s="5">
        <f t="shared" si="8"/>
        <v>0.05294771315323455</v>
      </c>
    </row>
    <row r="61" spans="1:7" ht="12.75">
      <c r="A61" s="2" t="s">
        <v>196</v>
      </c>
      <c r="B61" s="5">
        <f t="shared" si="8"/>
        <v>0.11706078343622857</v>
      </c>
      <c r="C61" s="5">
        <f t="shared" si="8"/>
        <v>0.1027516323930075</v>
      </c>
      <c r="D61" s="5">
        <f t="shared" si="8"/>
        <v>0.06861577670375409</v>
      </c>
      <c r="E61" s="5">
        <f t="shared" si="8"/>
        <v>0.06134820710871546</v>
      </c>
      <c r="F61" s="5">
        <f t="shared" si="8"/>
        <v>0.060934705483235145</v>
      </c>
      <c r="G61" s="5">
        <f t="shared" si="8"/>
        <v>0.044828857447168545</v>
      </c>
    </row>
    <row r="62" spans="1:7" ht="12.75">
      <c r="A62" s="2" t="s">
        <v>197</v>
      </c>
      <c r="B62" s="5">
        <f t="shared" si="8"/>
        <v>0.09458759841856335</v>
      </c>
      <c r="C62" s="5">
        <f t="shared" si="8"/>
        <v>0.07724786483135414</v>
      </c>
      <c r="D62" s="5">
        <f t="shared" si="8"/>
        <v>0.06355816082672652</v>
      </c>
      <c r="E62" s="5">
        <f t="shared" si="8"/>
        <v>0.05367186747838024</v>
      </c>
      <c r="F62" s="5">
        <f t="shared" si="8"/>
        <v>0.05158914157118777</v>
      </c>
      <c r="G62" s="5">
        <f t="shared" si="8"/>
        <v>0.033613010733912506</v>
      </c>
    </row>
    <row r="63" spans="1:7" ht="12.75">
      <c r="A63" s="2" t="s">
        <v>214</v>
      </c>
      <c r="B63" s="5">
        <f t="shared" si="8"/>
        <v>0.15047568779978635</v>
      </c>
      <c r="C63" s="5">
        <f t="shared" si="8"/>
        <v>0.2289825234901954</v>
      </c>
      <c r="D63" s="5">
        <f t="shared" si="8"/>
        <v>0.11121607464647752</v>
      </c>
      <c r="E63" s="5">
        <f t="shared" si="8"/>
        <v>0.11079740922656449</v>
      </c>
      <c r="F63" s="5">
        <f t="shared" si="8"/>
        <v>0.10967295694229166</v>
      </c>
      <c r="G63" s="5">
        <f t="shared" si="8"/>
        <v>0.08454170386632538</v>
      </c>
    </row>
    <row r="64" spans="1:7" ht="12.75">
      <c r="A64" s="2" t="s">
        <v>216</v>
      </c>
      <c r="B64" s="5">
        <f t="shared" si="8"/>
        <v>0.06925863038114473</v>
      </c>
      <c r="C64" s="5">
        <f t="shared" si="8"/>
        <v>0.3410593902463533</v>
      </c>
      <c r="D64" s="5">
        <f t="shared" si="8"/>
        <v>0.17071115327552075</v>
      </c>
      <c r="E64" s="5">
        <f t="shared" si="8"/>
        <v>0.17826229650337927</v>
      </c>
      <c r="F64" s="5">
        <f t="shared" si="8"/>
        <v>0.17467480762268792</v>
      </c>
      <c r="G64" s="5">
        <f t="shared" si="8"/>
        <v>0.154413949828081</v>
      </c>
    </row>
    <row r="65" spans="1:7" ht="12.75">
      <c r="A65" s="2" t="s">
        <v>217</v>
      </c>
      <c r="B65" s="5">
        <f t="shared" si="8"/>
        <v>0.21426048147730173</v>
      </c>
      <c r="C65" s="5">
        <f t="shared" si="8"/>
        <v>0.20339383805630407</v>
      </c>
      <c r="D65" s="5">
        <f t="shared" si="8"/>
        <v>0.11771259408634521</v>
      </c>
      <c r="E65" s="5">
        <f t="shared" si="8"/>
        <v>0.16038044579350028</v>
      </c>
      <c r="F65" s="5">
        <f t="shared" si="8"/>
        <v>0.14996949824978853</v>
      </c>
      <c r="G65" s="5">
        <f t="shared" si="8"/>
        <v>0.12353940868298156</v>
      </c>
    </row>
    <row r="66" spans="1:7" ht="12.75">
      <c r="A66" s="2" t="s">
        <v>218</v>
      </c>
      <c r="B66" s="5">
        <f t="shared" si="8"/>
        <v>0.014901040690450522</v>
      </c>
      <c r="C66" s="5">
        <f t="shared" si="8"/>
        <v>0.06390070244640723</v>
      </c>
      <c r="D66" s="5">
        <f t="shared" si="8"/>
        <v>0.03544263362626638</v>
      </c>
      <c r="E66" s="5">
        <f t="shared" si="8"/>
        <v>0.031903709587490836</v>
      </c>
      <c r="F66" s="5">
        <f t="shared" si="8"/>
        <v>0.03287949544372349</v>
      </c>
      <c r="G66" s="5">
        <f t="shared" si="8"/>
        <v>0.03612001322937117</v>
      </c>
    </row>
    <row r="67" spans="1:7" ht="12.75">
      <c r="A67" s="2" t="s">
        <v>219</v>
      </c>
      <c r="B67" s="5">
        <f t="shared" si="8"/>
        <v>0.20474756683145381</v>
      </c>
      <c r="C67" s="5">
        <f t="shared" si="8"/>
        <v>0.18675567789036926</v>
      </c>
      <c r="D67" s="5">
        <f t="shared" si="8"/>
        <v>0.07526513359282283</v>
      </c>
      <c r="E67" s="5">
        <f t="shared" si="8"/>
        <v>0.050349740534556736</v>
      </c>
      <c r="F67" s="5">
        <f t="shared" si="8"/>
        <v>0.04647215962483455</v>
      </c>
      <c r="G67" s="5">
        <f t="shared" si="8"/>
        <v>0.00614359053667897</v>
      </c>
    </row>
    <row r="68" spans="1:7" ht="12.75">
      <c r="A68" s="2" t="s">
        <v>215</v>
      </c>
      <c r="B68" s="5">
        <f t="shared" si="8"/>
        <v>0.029406814997022048</v>
      </c>
      <c r="C68" s="5">
        <f t="shared" si="8"/>
        <v>0.02373634248138058</v>
      </c>
      <c r="D68" s="5">
        <f t="shared" si="8"/>
        <v>0.025490949305322974</v>
      </c>
      <c r="E68" s="5">
        <f t="shared" si="8"/>
        <v>0.023416151432611037</v>
      </c>
      <c r="F68" s="5">
        <f t="shared" si="8"/>
        <v>0.023760549533207286</v>
      </c>
      <c r="G68" s="5">
        <f t="shared" si="8"/>
        <v>0.018302260773530515</v>
      </c>
    </row>
    <row r="69" spans="1:7" ht="12.75">
      <c r="A69" s="2" t="s">
        <v>221</v>
      </c>
      <c r="B69" s="5">
        <f t="shared" si="8"/>
        <v>-0.02704509364345426</v>
      </c>
      <c r="C69" s="5">
        <f t="shared" si="8"/>
        <v>-0.002691180309080512</v>
      </c>
      <c r="D69" s="5">
        <f t="shared" si="8"/>
        <v>-0.0020185672083606354</v>
      </c>
      <c r="E69" s="5">
        <f t="shared" si="8"/>
        <v>-0.002007578155379476</v>
      </c>
      <c r="F69" s="5">
        <f t="shared" si="8"/>
        <v>-0.002011616632988519</v>
      </c>
      <c r="G69" s="5">
        <f t="shared" si="8"/>
        <v>0</v>
      </c>
    </row>
    <row r="70" spans="1:7" ht="12.75">
      <c r="A70" s="2" t="s">
        <v>222</v>
      </c>
      <c r="B70" s="5">
        <f t="shared" si="8"/>
        <v>0.016393442622950786</v>
      </c>
      <c r="C70" s="5">
        <f t="shared" si="8"/>
        <v>0.017369727047146472</v>
      </c>
      <c r="D70" s="5">
        <f t="shared" si="8"/>
        <v>0.012195121951219513</v>
      </c>
      <c r="E70" s="5">
        <f t="shared" si="8"/>
        <v>0.007228915662650534</v>
      </c>
      <c r="F70" s="5">
        <f t="shared" si="8"/>
        <v>0.0023923444976076897</v>
      </c>
      <c r="G70" s="5">
        <f t="shared" si="8"/>
        <v>0</v>
      </c>
    </row>
    <row r="71" spans="1:7" ht="12.75">
      <c r="A71" s="2" t="s">
        <v>220</v>
      </c>
      <c r="B71" s="5">
        <f t="shared" si="8"/>
        <v>0.11262180471795198</v>
      </c>
      <c r="C71" s="5">
        <f t="shared" si="8"/>
        <v>0.05796088809468418</v>
      </c>
      <c r="D71" s="5">
        <f t="shared" si="8"/>
        <v>0.06100915626859995</v>
      </c>
      <c r="E71" s="5">
        <f t="shared" si="8"/>
        <v>0.0553968769917505</v>
      </c>
      <c r="F71" s="5">
        <f t="shared" si="8"/>
        <v>0.055740082859497414</v>
      </c>
      <c r="G71" s="5">
        <f t="shared" si="8"/>
        <v>0.04055614514412391</v>
      </c>
    </row>
    <row r="72" spans="1:7" ht="12.75">
      <c r="A72" s="2" t="s">
        <v>198</v>
      </c>
      <c r="B72" s="5">
        <f t="shared" si="8"/>
        <v>0.09373020899303346</v>
      </c>
      <c r="C72" s="5">
        <f t="shared" si="8"/>
        <v>0.1424435437174292</v>
      </c>
      <c r="D72" s="5">
        <f t="shared" si="8"/>
        <v>0.08160162189559043</v>
      </c>
      <c r="E72" s="5">
        <f t="shared" si="8"/>
        <v>0.07685098406747894</v>
      </c>
      <c r="F72" s="5">
        <f t="shared" si="8"/>
        <v>0.07789382071366395</v>
      </c>
      <c r="G72" s="5">
        <f t="shared" si="8"/>
        <v>0.05813484053290285</v>
      </c>
    </row>
    <row r="73" spans="1:7" ht="12.75">
      <c r="A73" s="2"/>
      <c r="B73" s="109"/>
      <c r="C73" s="109"/>
      <c r="D73" s="109"/>
      <c r="E73" s="109"/>
      <c r="F73" s="109"/>
      <c r="G73" s="109"/>
    </row>
    <row r="74" spans="1:7" ht="12.75">
      <c r="A74" s="2" t="s">
        <v>209</v>
      </c>
      <c r="B74" s="5">
        <f aca="true" t="shared" si="9" ref="B74:G74">(C22-B22)/B22</f>
        <v>0.09146773424303686</v>
      </c>
      <c r="C74" s="5">
        <f t="shared" si="9"/>
        <v>0.13955674251839198</v>
      </c>
      <c r="D74" s="5">
        <f t="shared" si="9"/>
        <v>0.07962879076519451</v>
      </c>
      <c r="E74" s="5">
        <f t="shared" si="9"/>
        <v>0.07573023131857731</v>
      </c>
      <c r="F74" s="5">
        <f t="shared" si="9"/>
        <v>0.07598441242425902</v>
      </c>
      <c r="G74" s="5">
        <f t="shared" si="9"/>
        <v>0.05720592162874931</v>
      </c>
    </row>
    <row r="75" spans="1:7" ht="12.75">
      <c r="A75" s="2" t="s">
        <v>210</v>
      </c>
      <c r="B75" s="5">
        <f aca="true" t="shared" si="10" ref="B75:G76">(C23-B23)/B23</f>
        <v>0.09073907016656045</v>
      </c>
      <c r="C75" s="5">
        <f t="shared" si="10"/>
        <v>0.11992415226030298</v>
      </c>
      <c r="D75" s="5">
        <f t="shared" si="10"/>
        <v>0.09587881407831697</v>
      </c>
      <c r="E75" s="5">
        <f t="shared" si="10"/>
        <v>0.1112243388504462</v>
      </c>
      <c r="F75" s="5">
        <f t="shared" si="10"/>
        <v>0.10303514376996797</v>
      </c>
      <c r="G75" s="5">
        <f t="shared" si="10"/>
        <v>0.07238447716362274</v>
      </c>
    </row>
    <row r="76" spans="1:7" ht="12.75">
      <c r="A76" s="2" t="s">
        <v>211</v>
      </c>
      <c r="B76" s="5">
        <f t="shared" si="10"/>
        <v>0.08148288802625463</v>
      </c>
      <c r="C76" s="5">
        <f t="shared" si="10"/>
        <v>0.12016469377251673</v>
      </c>
      <c r="D76" s="5">
        <f t="shared" si="10"/>
        <v>0.08793710876762767</v>
      </c>
      <c r="E76" s="5">
        <f t="shared" si="10"/>
        <v>0.11180780257179744</v>
      </c>
      <c r="F76" s="5">
        <f t="shared" si="10"/>
        <v>0.10357982990530168</v>
      </c>
      <c r="G76" s="5">
        <f t="shared" si="10"/>
        <v>0.07271981963517124</v>
      </c>
    </row>
  </sheetData>
  <mergeCells count="6">
    <mergeCell ref="B53:H53"/>
    <mergeCell ref="B27:H27"/>
    <mergeCell ref="B52:H52"/>
    <mergeCell ref="B1:H1"/>
    <mergeCell ref="B2:H2"/>
    <mergeCell ref="B26:H2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/>
  <dimension ref="A1:P34"/>
  <sheetViews>
    <sheetView workbookViewId="0" topLeftCell="A1">
      <selection activeCell="A1" sqref="A1"/>
    </sheetView>
  </sheetViews>
  <sheetFormatPr defaultColWidth="9.140625" defaultRowHeight="12.75"/>
  <cols>
    <col min="8" max="8" width="10.7109375" style="0" customWidth="1"/>
    <col min="12" max="12" width="10.00390625" style="0" customWidth="1"/>
    <col min="13" max="13" width="9.28125" style="0" bestFit="1" customWidth="1"/>
    <col min="14" max="15" width="11.00390625" style="0" customWidth="1"/>
  </cols>
  <sheetData>
    <row r="1" spans="1:15" ht="12.75">
      <c r="A1" s="29" t="s">
        <v>80</v>
      </c>
      <c r="B1" s="30" t="s">
        <v>81</v>
      </c>
      <c r="C1" s="30" t="s">
        <v>82</v>
      </c>
      <c r="D1" s="30" t="s">
        <v>83</v>
      </c>
      <c r="E1" s="30" t="s">
        <v>84</v>
      </c>
      <c r="F1" s="39" t="s">
        <v>85</v>
      </c>
      <c r="G1" s="39" t="s">
        <v>86</v>
      </c>
      <c r="H1" s="40" t="s">
        <v>87</v>
      </c>
      <c r="I1" s="40" t="s">
        <v>88</v>
      </c>
      <c r="J1" s="29" t="s">
        <v>89</v>
      </c>
      <c r="K1" s="46" t="s">
        <v>90</v>
      </c>
      <c r="L1" s="29" t="s">
        <v>91</v>
      </c>
      <c r="M1" s="30" t="s">
        <v>92</v>
      </c>
      <c r="N1" s="2" t="s">
        <v>93</v>
      </c>
      <c r="O1" s="2" t="s">
        <v>97</v>
      </c>
    </row>
    <row r="2" spans="1:14" ht="12.75">
      <c r="A2" s="36">
        <v>1970</v>
      </c>
      <c r="B2" s="30"/>
      <c r="C2" s="30"/>
      <c r="D2" s="30"/>
      <c r="E2" s="31">
        <v>70.4</v>
      </c>
      <c r="H2" s="41">
        <v>134.6</v>
      </c>
      <c r="K2" s="44">
        <v>59.8</v>
      </c>
      <c r="N2" s="49">
        <v>3051.8</v>
      </c>
    </row>
    <row r="3" spans="1:16" ht="12.75">
      <c r="A3" s="36">
        <v>1971</v>
      </c>
      <c r="B3" s="30"/>
      <c r="C3" s="30"/>
      <c r="D3" s="31">
        <v>69.8</v>
      </c>
      <c r="E3" s="31">
        <v>73.6</v>
      </c>
      <c r="H3" s="41">
        <v>142.8</v>
      </c>
      <c r="I3" s="31"/>
      <c r="J3" s="31">
        <v>42.2</v>
      </c>
      <c r="K3" s="44">
        <v>61.2</v>
      </c>
      <c r="M3" s="50">
        <v>3051.8</v>
      </c>
      <c r="N3" s="49">
        <v>3098</v>
      </c>
      <c r="O3" s="34">
        <v>46.19999999999982</v>
      </c>
      <c r="P3" s="34" t="s">
        <v>94</v>
      </c>
    </row>
    <row r="4" spans="1:16" ht="12.75">
      <c r="A4">
        <v>1972</v>
      </c>
      <c r="B4" s="31">
        <v>205.3</v>
      </c>
      <c r="C4" s="34">
        <v>40.2</v>
      </c>
      <c r="D4" s="31">
        <v>73</v>
      </c>
      <c r="E4" s="31">
        <v>83.5</v>
      </c>
      <c r="F4" s="38">
        <v>62</v>
      </c>
      <c r="H4" s="41">
        <v>147.7</v>
      </c>
      <c r="I4" s="31">
        <v>45.6</v>
      </c>
      <c r="J4" s="31">
        <v>46.2</v>
      </c>
      <c r="K4" s="44">
        <v>63.6</v>
      </c>
      <c r="M4" s="50">
        <v>3098</v>
      </c>
      <c r="N4" s="49">
        <v>3163.1</v>
      </c>
      <c r="O4" s="34">
        <v>65.09999999999991</v>
      </c>
      <c r="P4" s="34" t="s">
        <v>95</v>
      </c>
    </row>
    <row r="5" spans="1:16" ht="12.75">
      <c r="A5">
        <v>1973</v>
      </c>
      <c r="B5" s="31">
        <v>212.5</v>
      </c>
      <c r="C5" s="34">
        <v>43.2</v>
      </c>
      <c r="D5" s="31">
        <v>77.1</v>
      </c>
      <c r="E5" s="31">
        <v>92</v>
      </c>
      <c r="F5" s="38">
        <v>64.9</v>
      </c>
      <c r="H5" s="41">
        <v>151.6</v>
      </c>
      <c r="I5" s="31">
        <v>48.3</v>
      </c>
      <c r="J5" s="31">
        <v>49.5</v>
      </c>
      <c r="K5" s="44">
        <v>67.4</v>
      </c>
      <c r="M5" s="50">
        <v>3163.1</v>
      </c>
      <c r="N5" s="49">
        <v>3178.5</v>
      </c>
      <c r="O5" s="34">
        <v>15.400000000000091</v>
      </c>
      <c r="P5" s="34"/>
    </row>
    <row r="6" spans="1:16" ht="12.75">
      <c r="A6">
        <v>1974</v>
      </c>
      <c r="B6" s="31">
        <v>208.6</v>
      </c>
      <c r="C6" s="34">
        <v>42.1</v>
      </c>
      <c r="D6" s="31">
        <v>78.9</v>
      </c>
      <c r="E6" s="31">
        <v>89.1</v>
      </c>
      <c r="F6" s="38">
        <v>66</v>
      </c>
      <c r="H6" s="41">
        <v>157.9</v>
      </c>
      <c r="I6" s="31">
        <v>50.1</v>
      </c>
      <c r="J6" s="31">
        <v>52.4</v>
      </c>
      <c r="K6" s="44">
        <v>71.8</v>
      </c>
      <c r="M6" s="50">
        <v>3178.5</v>
      </c>
      <c r="N6" s="49">
        <v>3183.1</v>
      </c>
      <c r="O6" s="34">
        <v>4.599999999999909</v>
      </c>
      <c r="P6" s="34"/>
    </row>
    <row r="7" spans="1:16" ht="12.75">
      <c r="A7">
        <v>1975</v>
      </c>
      <c r="B7" s="31">
        <v>211</v>
      </c>
      <c r="C7" s="34">
        <v>42.6</v>
      </c>
      <c r="D7" s="31">
        <v>76.4</v>
      </c>
      <c r="E7" s="31">
        <v>73.1</v>
      </c>
      <c r="F7" s="38">
        <v>64.1</v>
      </c>
      <c r="H7" s="41">
        <v>165</v>
      </c>
      <c r="I7" s="31">
        <v>48.7</v>
      </c>
      <c r="J7" s="31">
        <v>53.9</v>
      </c>
      <c r="K7" s="44">
        <v>74.1</v>
      </c>
      <c r="L7" s="45">
        <v>138.2</v>
      </c>
      <c r="M7" s="50">
        <v>3183.1</v>
      </c>
      <c r="N7" s="49">
        <v>3204.6</v>
      </c>
      <c r="O7" s="34">
        <v>21.5</v>
      </c>
      <c r="P7" s="34"/>
    </row>
    <row r="8" spans="1:16" ht="12.75">
      <c r="A8">
        <v>1976</v>
      </c>
      <c r="B8" s="31">
        <v>217</v>
      </c>
      <c r="C8" s="34">
        <v>43.4</v>
      </c>
      <c r="D8" s="31">
        <v>77.7</v>
      </c>
      <c r="E8" s="31">
        <v>71.4</v>
      </c>
      <c r="F8" s="38">
        <v>61.1</v>
      </c>
      <c r="H8" s="41">
        <v>170</v>
      </c>
      <c r="I8" s="31">
        <v>49</v>
      </c>
      <c r="J8" s="31">
        <v>56.3</v>
      </c>
      <c r="K8" s="44">
        <v>77.7</v>
      </c>
      <c r="L8" s="45">
        <v>142.7</v>
      </c>
      <c r="M8" s="50">
        <v>3204.6</v>
      </c>
      <c r="N8" s="49">
        <v>3219.2</v>
      </c>
      <c r="O8" s="34">
        <v>14.599999999999909</v>
      </c>
      <c r="P8" s="34"/>
    </row>
    <row r="9" spans="1:16" ht="12.75">
      <c r="A9">
        <v>1977</v>
      </c>
      <c r="B9" s="31">
        <v>224.1</v>
      </c>
      <c r="C9" s="34">
        <v>44.9</v>
      </c>
      <c r="D9" s="31">
        <v>81.6</v>
      </c>
      <c r="E9" s="31">
        <v>73.5</v>
      </c>
      <c r="F9" s="38">
        <v>62.9</v>
      </c>
      <c r="H9" s="41">
        <v>175.9</v>
      </c>
      <c r="I9" s="31">
        <v>49.4</v>
      </c>
      <c r="J9" s="31">
        <v>57</v>
      </c>
      <c r="K9" s="44">
        <v>82.2</v>
      </c>
      <c r="L9" s="45">
        <v>153.9</v>
      </c>
      <c r="M9" s="50">
        <v>3219.2</v>
      </c>
      <c r="N9" s="49">
        <v>3220</v>
      </c>
      <c r="O9" s="34">
        <v>0.8000000000001819</v>
      </c>
      <c r="P9" s="34"/>
    </row>
    <row r="10" spans="1:16" ht="12.75">
      <c r="A10">
        <v>1978</v>
      </c>
      <c r="B10" s="31">
        <v>243.1</v>
      </c>
      <c r="C10" s="34">
        <v>50.7</v>
      </c>
      <c r="D10" s="31">
        <v>85.7</v>
      </c>
      <c r="E10" s="31">
        <v>85.2</v>
      </c>
      <c r="F10" s="38">
        <v>66.1</v>
      </c>
      <c r="H10" s="41">
        <v>184.6</v>
      </c>
      <c r="I10" s="31">
        <v>58.5</v>
      </c>
      <c r="J10" s="31">
        <v>57.4</v>
      </c>
      <c r="K10" s="44">
        <v>91.9</v>
      </c>
      <c r="L10" s="45">
        <v>182.1</v>
      </c>
      <c r="M10" s="50">
        <v>3220</v>
      </c>
      <c r="N10" s="49">
        <v>3242.6</v>
      </c>
      <c r="O10" s="34">
        <v>22.59999999999991</v>
      </c>
      <c r="P10" s="34"/>
    </row>
    <row r="11" spans="1:16" ht="12.75">
      <c r="A11">
        <v>1979</v>
      </c>
      <c r="B11" s="31">
        <v>251.8</v>
      </c>
      <c r="C11" s="34">
        <v>54.9</v>
      </c>
      <c r="D11" s="31">
        <v>90</v>
      </c>
      <c r="E11" s="31">
        <v>90.4</v>
      </c>
      <c r="F11" s="38">
        <v>69.7</v>
      </c>
      <c r="H11" s="41">
        <v>200.2</v>
      </c>
      <c r="I11" s="31">
        <v>62.4</v>
      </c>
      <c r="J11" s="31">
        <v>63</v>
      </c>
      <c r="K11" s="44">
        <v>100.8</v>
      </c>
      <c r="L11" s="45">
        <v>203.3</v>
      </c>
      <c r="M11" s="50">
        <v>3242.6</v>
      </c>
      <c r="N11" s="49">
        <v>3245.1</v>
      </c>
      <c r="O11" s="34">
        <v>2.5</v>
      </c>
      <c r="P11" s="34"/>
    </row>
    <row r="12" spans="1:16" ht="12.75">
      <c r="A12">
        <v>1980</v>
      </c>
      <c r="B12" s="31">
        <v>255.6</v>
      </c>
      <c r="C12" s="34">
        <v>56.9</v>
      </c>
      <c r="D12" s="31">
        <v>91.6</v>
      </c>
      <c r="E12" s="31">
        <v>85.9</v>
      </c>
      <c r="F12" s="38">
        <v>73.3</v>
      </c>
      <c r="H12" s="41">
        <v>201.5</v>
      </c>
      <c r="I12" s="31">
        <v>64.7</v>
      </c>
      <c r="J12" s="31">
        <v>66.6</v>
      </c>
      <c r="K12" s="44">
        <v>106.6</v>
      </c>
      <c r="L12" s="45">
        <v>207.1</v>
      </c>
      <c r="M12" s="50">
        <v>3245.1</v>
      </c>
      <c r="N12" s="49">
        <v>3252</v>
      </c>
      <c r="O12" s="34">
        <v>6.900000000000091</v>
      </c>
      <c r="P12" s="34"/>
    </row>
    <row r="13" spans="1:16" ht="12.75">
      <c r="A13">
        <v>1981</v>
      </c>
      <c r="B13" s="31">
        <v>260.4</v>
      </c>
      <c r="C13" s="34">
        <v>59</v>
      </c>
      <c r="D13" s="31">
        <v>92.3</v>
      </c>
      <c r="E13" s="31">
        <v>81.6</v>
      </c>
      <c r="F13" s="38">
        <v>75.3</v>
      </c>
      <c r="H13" s="41">
        <v>197.6</v>
      </c>
      <c r="I13" s="31">
        <v>65.6</v>
      </c>
      <c r="J13" s="31">
        <v>70.3</v>
      </c>
      <c r="K13" s="44">
        <v>112.4</v>
      </c>
      <c r="L13" s="45">
        <v>225.2</v>
      </c>
      <c r="M13" s="50">
        <v>3252</v>
      </c>
      <c r="N13" s="49">
        <v>3322</v>
      </c>
      <c r="O13" s="34">
        <v>70</v>
      </c>
      <c r="P13" s="34"/>
    </row>
    <row r="14" spans="1:16" ht="12.75">
      <c r="A14">
        <v>1982</v>
      </c>
      <c r="B14" s="31">
        <v>257.6</v>
      </c>
      <c r="C14" s="34">
        <v>59.4</v>
      </c>
      <c r="D14" s="31">
        <v>94.1</v>
      </c>
      <c r="E14" s="31">
        <v>71.7</v>
      </c>
      <c r="F14" s="38">
        <v>76.2</v>
      </c>
      <c r="H14" s="41">
        <v>191.1</v>
      </c>
      <c r="I14" s="31">
        <v>66.7</v>
      </c>
      <c r="J14" s="31">
        <v>72.8</v>
      </c>
      <c r="K14" s="44">
        <v>116.5</v>
      </c>
      <c r="L14" s="45">
        <v>237.3</v>
      </c>
      <c r="M14" s="50">
        <v>3322</v>
      </c>
      <c r="N14" s="49">
        <v>3364.4</v>
      </c>
      <c r="O14" s="34">
        <v>42.40000000000009</v>
      </c>
      <c r="P14" s="34"/>
    </row>
    <row r="15" spans="1:16" ht="12.75">
      <c r="A15">
        <v>1983</v>
      </c>
      <c r="B15" s="31">
        <v>271.5</v>
      </c>
      <c r="C15" s="34">
        <v>62.8</v>
      </c>
      <c r="D15" s="31">
        <v>97.3</v>
      </c>
      <c r="E15" s="31">
        <v>81.9</v>
      </c>
      <c r="F15" s="38">
        <v>77.8</v>
      </c>
      <c r="H15" s="41">
        <v>184.1</v>
      </c>
      <c r="I15" s="31">
        <v>71.2</v>
      </c>
      <c r="J15" s="31">
        <v>76.5</v>
      </c>
      <c r="K15" s="44">
        <v>122.4</v>
      </c>
      <c r="L15" s="45">
        <v>247.7</v>
      </c>
      <c r="M15" s="50">
        <v>3364.4</v>
      </c>
      <c r="N15" s="49">
        <v>3405.1</v>
      </c>
      <c r="O15" s="34">
        <v>40.69999999999982</v>
      </c>
      <c r="P15" s="34"/>
    </row>
    <row r="16" spans="1:16" ht="12.75">
      <c r="A16">
        <v>1984</v>
      </c>
      <c r="B16" s="31">
        <v>291.7</v>
      </c>
      <c r="C16" s="34">
        <v>66.6</v>
      </c>
      <c r="D16" s="31">
        <v>103.2</v>
      </c>
      <c r="E16" s="31">
        <v>96.8</v>
      </c>
      <c r="F16" s="38">
        <v>83</v>
      </c>
      <c r="H16" s="41">
        <v>186.8</v>
      </c>
      <c r="I16" s="31">
        <v>77.3</v>
      </c>
      <c r="J16" s="31">
        <v>82.6</v>
      </c>
      <c r="K16" s="44">
        <v>132.2</v>
      </c>
      <c r="L16" s="45">
        <v>270.5</v>
      </c>
      <c r="M16" s="50">
        <v>3405.1</v>
      </c>
      <c r="N16" s="49">
        <v>3476.6</v>
      </c>
      <c r="O16" s="34">
        <v>71.5</v>
      </c>
      <c r="P16" s="34"/>
    </row>
    <row r="17" spans="1:16" ht="12.75">
      <c r="A17">
        <v>1985</v>
      </c>
      <c r="B17" s="31">
        <v>309.1</v>
      </c>
      <c r="C17" s="34">
        <v>70.4</v>
      </c>
      <c r="D17" s="31">
        <v>107</v>
      </c>
      <c r="E17" s="31">
        <v>110.9</v>
      </c>
      <c r="F17" s="38">
        <v>88.7</v>
      </c>
      <c r="H17" s="41">
        <v>194</v>
      </c>
      <c r="I17" s="31">
        <v>81.7</v>
      </c>
      <c r="J17" s="31">
        <v>88.7</v>
      </c>
      <c r="K17" s="44">
        <v>141.9</v>
      </c>
      <c r="L17" s="45">
        <v>292.1</v>
      </c>
      <c r="M17" s="50">
        <v>3476.6</v>
      </c>
      <c r="N17" s="49">
        <v>3540.4</v>
      </c>
      <c r="O17" s="34">
        <v>63.80000000000018</v>
      </c>
      <c r="P17" s="34"/>
    </row>
    <row r="18" spans="1:16" ht="12.75">
      <c r="A18">
        <v>1986</v>
      </c>
      <c r="B18" s="31">
        <v>327.2</v>
      </c>
      <c r="C18" s="34">
        <v>73.1</v>
      </c>
      <c r="D18" s="31">
        <v>115.1</v>
      </c>
      <c r="E18" s="31">
        <v>121.9</v>
      </c>
      <c r="F18" s="38">
        <v>95.2</v>
      </c>
      <c r="H18" s="41">
        <v>198</v>
      </c>
      <c r="I18" s="31">
        <v>85.6</v>
      </c>
      <c r="J18" s="31">
        <v>93.9</v>
      </c>
      <c r="K18" s="44">
        <v>150.2</v>
      </c>
      <c r="L18" s="45">
        <v>315</v>
      </c>
      <c r="M18" s="50">
        <v>3540.4</v>
      </c>
      <c r="N18" s="49">
        <v>3631.9</v>
      </c>
      <c r="O18" s="34">
        <v>91.5</v>
      </c>
      <c r="P18" s="34"/>
    </row>
    <row r="19" spans="1:16" ht="12.75">
      <c r="A19">
        <v>1987</v>
      </c>
      <c r="B19" s="31">
        <v>340.3</v>
      </c>
      <c r="C19" s="34">
        <v>75.1</v>
      </c>
      <c r="D19" s="31">
        <v>123.3</v>
      </c>
      <c r="E19" s="31">
        <v>131.6</v>
      </c>
      <c r="F19" s="38">
        <v>100</v>
      </c>
      <c r="H19" s="41">
        <v>203.1</v>
      </c>
      <c r="I19" s="31">
        <v>86.2</v>
      </c>
      <c r="J19" s="31">
        <v>101</v>
      </c>
      <c r="K19" s="44">
        <v>161.5</v>
      </c>
      <c r="L19" s="45">
        <v>345</v>
      </c>
      <c r="M19" s="50">
        <v>3631.9</v>
      </c>
      <c r="N19" s="49">
        <v>3719.8</v>
      </c>
      <c r="O19" s="34">
        <v>87.90000000000009</v>
      </c>
      <c r="P19" s="34"/>
    </row>
    <row r="20" spans="1:16" ht="12.75">
      <c r="A20">
        <v>1988</v>
      </c>
      <c r="B20" s="31">
        <v>351.8</v>
      </c>
      <c r="C20" s="34">
        <v>78.1</v>
      </c>
      <c r="D20" s="31">
        <v>127.2</v>
      </c>
      <c r="E20" s="31">
        <v>141.4</v>
      </c>
      <c r="F20" s="38">
        <v>105.5</v>
      </c>
      <c r="H20" s="41">
        <v>211.9</v>
      </c>
      <c r="I20" s="31">
        <v>88.8</v>
      </c>
      <c r="J20" s="31">
        <v>107.1</v>
      </c>
      <c r="K20" s="44">
        <v>171.3</v>
      </c>
      <c r="L20" s="45">
        <v>367.2</v>
      </c>
      <c r="M20" s="50">
        <v>3719.8</v>
      </c>
      <c r="N20" s="49">
        <v>3805.3</v>
      </c>
      <c r="O20" s="34">
        <v>85.5</v>
      </c>
      <c r="P20" s="34"/>
    </row>
    <row r="21" spans="1:16" ht="12.75">
      <c r="A21">
        <v>1989</v>
      </c>
      <c r="B21" s="31">
        <v>357.9</v>
      </c>
      <c r="C21" s="34">
        <v>78.3</v>
      </c>
      <c r="D21" s="31">
        <v>130</v>
      </c>
      <c r="E21" s="31">
        <v>146.9</v>
      </c>
      <c r="F21" s="38">
        <v>108.9</v>
      </c>
      <c r="H21" s="41">
        <v>216.5</v>
      </c>
      <c r="I21" s="31">
        <v>89</v>
      </c>
      <c r="J21" s="31">
        <v>112.3</v>
      </c>
      <c r="K21" s="44">
        <v>178.4</v>
      </c>
      <c r="L21" s="45">
        <v>383.4</v>
      </c>
      <c r="M21" s="50">
        <v>3805.3</v>
      </c>
      <c r="N21" s="49">
        <v>3878.7</v>
      </c>
      <c r="O21" s="34">
        <v>73.39999999999964</v>
      </c>
      <c r="P21" s="34"/>
    </row>
    <row r="22" spans="1:16" ht="12.75">
      <c r="A22">
        <v>1990</v>
      </c>
      <c r="B22" s="32">
        <v>355.9</v>
      </c>
      <c r="C22" s="34">
        <v>78.3</v>
      </c>
      <c r="D22" s="32">
        <v>132.2</v>
      </c>
      <c r="E22" s="31">
        <v>134.4</v>
      </c>
      <c r="F22" s="38">
        <v>108</v>
      </c>
      <c r="G22" s="31">
        <v>55.020395154972874</v>
      </c>
      <c r="H22" s="41">
        <v>222.5</v>
      </c>
      <c r="I22" s="31">
        <v>87.8</v>
      </c>
      <c r="J22" s="31">
        <v>119</v>
      </c>
      <c r="K22" s="44">
        <v>180.2</v>
      </c>
      <c r="L22" s="45">
        <v>393.2</v>
      </c>
      <c r="M22" s="50">
        <v>3878.7</v>
      </c>
      <c r="N22" s="49">
        <v>3922.96</v>
      </c>
      <c r="O22" s="34">
        <v>44.26000000000022</v>
      </c>
      <c r="P22" s="34"/>
    </row>
    <row r="23" spans="1:16" ht="12.75">
      <c r="A23">
        <v>1991</v>
      </c>
      <c r="B23" s="32">
        <v>341.5</v>
      </c>
      <c r="C23" s="34">
        <v>74.8</v>
      </c>
      <c r="D23" s="32">
        <v>130.1</v>
      </c>
      <c r="E23" s="31">
        <v>105.3</v>
      </c>
      <c r="F23" s="38">
        <v>105.4</v>
      </c>
      <c r="G23" s="31">
        <v>54.67933343467638</v>
      </c>
      <c r="H23" s="41">
        <v>225.8</v>
      </c>
      <c r="I23" s="31">
        <v>82.6</v>
      </c>
      <c r="J23" s="31">
        <v>115.5</v>
      </c>
      <c r="K23" s="44">
        <v>181.9</v>
      </c>
      <c r="L23" s="45">
        <v>391.6</v>
      </c>
      <c r="M23" s="51">
        <v>3922.96</v>
      </c>
      <c r="N23" s="49">
        <v>3994.176</v>
      </c>
      <c r="O23" s="34">
        <v>71.2159999999999</v>
      </c>
      <c r="P23" s="34"/>
    </row>
    <row r="24" spans="1:16" ht="12.75">
      <c r="A24">
        <v>1992</v>
      </c>
      <c r="B24" s="32">
        <v>336.5</v>
      </c>
      <c r="C24" s="34">
        <v>71.7</v>
      </c>
      <c r="D24" s="32">
        <v>127.7</v>
      </c>
      <c r="E24" s="31">
        <v>96.3</v>
      </c>
      <c r="F24" s="38">
        <v>103.1</v>
      </c>
      <c r="G24" s="31">
        <v>55.14107908710759</v>
      </c>
      <c r="H24" s="41">
        <v>225.7</v>
      </c>
      <c r="I24" s="31">
        <v>79.2</v>
      </c>
      <c r="J24" s="31">
        <v>117.6</v>
      </c>
      <c r="K24" s="44">
        <v>185.3</v>
      </c>
      <c r="L24" s="45">
        <v>398.8</v>
      </c>
      <c r="M24" s="51">
        <v>3994.176</v>
      </c>
      <c r="N24" s="49">
        <v>4053.539</v>
      </c>
      <c r="O24" s="34">
        <v>59.363000000000284</v>
      </c>
      <c r="P24" s="34"/>
    </row>
    <row r="25" spans="1:16" ht="12.75">
      <c r="A25">
        <v>1993</v>
      </c>
      <c r="B25" s="32">
        <v>336.4</v>
      </c>
      <c r="C25" s="34">
        <v>68.2</v>
      </c>
      <c r="D25" s="32">
        <v>126.7</v>
      </c>
      <c r="E25" s="31">
        <v>95.5</v>
      </c>
      <c r="F25" s="38">
        <v>101.6</v>
      </c>
      <c r="G25" s="31">
        <v>56.71490790720673</v>
      </c>
      <c r="H25" s="41">
        <v>230.4</v>
      </c>
      <c r="I25" s="31">
        <v>78.6</v>
      </c>
      <c r="J25" s="31">
        <v>120.1</v>
      </c>
      <c r="K25" s="44">
        <v>189.1</v>
      </c>
      <c r="L25" s="45">
        <v>407.1</v>
      </c>
      <c r="M25" s="51">
        <v>4053.539</v>
      </c>
      <c r="N25" s="49">
        <v>4109.779</v>
      </c>
      <c r="O25" s="34">
        <v>56.24000000000024</v>
      </c>
      <c r="P25" s="34"/>
    </row>
    <row r="26" spans="1:16" ht="12.75">
      <c r="A26">
        <v>1994</v>
      </c>
      <c r="B26" s="32">
        <v>346.9</v>
      </c>
      <c r="C26" s="34">
        <v>70.8</v>
      </c>
      <c r="D26" s="32">
        <v>129.7</v>
      </c>
      <c r="E26" s="31">
        <v>101.5</v>
      </c>
      <c r="F26" s="38">
        <v>103.8</v>
      </c>
      <c r="G26" s="31">
        <v>58.443420012371696</v>
      </c>
      <c r="H26" s="41">
        <v>234.2</v>
      </c>
      <c r="I26" s="31">
        <v>78.7</v>
      </c>
      <c r="J26" s="31">
        <v>124.4</v>
      </c>
      <c r="K26" s="44">
        <v>195.9</v>
      </c>
      <c r="L26" s="45">
        <v>421.6</v>
      </c>
      <c r="M26" s="51">
        <v>4109.779</v>
      </c>
      <c r="N26" s="49">
        <v>4164.663</v>
      </c>
      <c r="O26" s="34">
        <v>54.883999999999105</v>
      </c>
      <c r="P26" s="34"/>
    </row>
    <row r="27" spans="1:16" ht="12.75">
      <c r="A27">
        <v>1995</v>
      </c>
      <c r="B27" s="32">
        <v>357.2</v>
      </c>
      <c r="C27" s="34">
        <v>73.5</v>
      </c>
      <c r="D27" s="32">
        <v>125.3</v>
      </c>
      <c r="E27" s="31">
        <v>103.1</v>
      </c>
      <c r="F27" s="38">
        <v>107.3</v>
      </c>
      <c r="G27" s="31">
        <v>59.47690757876739</v>
      </c>
      <c r="H27" s="41">
        <v>234.4</v>
      </c>
      <c r="I27" s="31">
        <v>79.3</v>
      </c>
      <c r="J27" s="31">
        <v>129.1</v>
      </c>
      <c r="K27" s="44">
        <v>203.3</v>
      </c>
      <c r="L27" s="45">
        <v>437.7</v>
      </c>
      <c r="M27" s="51">
        <v>4164.663</v>
      </c>
      <c r="N27" s="49">
        <v>4212.186</v>
      </c>
      <c r="O27" s="34">
        <v>47.52300000000014</v>
      </c>
      <c r="P27" s="34"/>
    </row>
    <row r="28" spans="1:16" ht="12.75">
      <c r="A28">
        <v>1996</v>
      </c>
      <c r="B28" s="33">
        <v>359</v>
      </c>
      <c r="C28" s="35">
        <v>77.2</v>
      </c>
      <c r="D28" s="33">
        <v>127.3</v>
      </c>
      <c r="E28" s="37">
        <v>111.8</v>
      </c>
      <c r="F28" s="38">
        <v>107.6</v>
      </c>
      <c r="G28" s="31">
        <v>60.67561690908552</v>
      </c>
      <c r="H28" s="41">
        <v>228.7</v>
      </c>
      <c r="I28" s="42">
        <v>82.5</v>
      </c>
      <c r="J28" s="43">
        <v>145.37583908522677</v>
      </c>
      <c r="K28" s="45">
        <v>237.45223094469293</v>
      </c>
      <c r="L28" s="47">
        <v>430.5197787125634</v>
      </c>
      <c r="M28" s="51">
        <v>4212.186</v>
      </c>
      <c r="N28" s="49">
        <v>4267.192</v>
      </c>
      <c r="O28" s="34">
        <v>55.00600000000031</v>
      </c>
      <c r="P28" s="34"/>
    </row>
    <row r="29" spans="1:16" ht="12.75">
      <c r="A29">
        <v>1997</v>
      </c>
      <c r="B29" s="33">
        <v>361.9</v>
      </c>
      <c r="C29" s="35">
        <v>77.2</v>
      </c>
      <c r="D29" s="33">
        <v>130.4</v>
      </c>
      <c r="E29" s="37">
        <v>119.1</v>
      </c>
      <c r="F29" s="38">
        <v>108.9</v>
      </c>
      <c r="G29" s="31">
        <v>60.769100192368455</v>
      </c>
      <c r="H29" s="41">
        <v>226.2</v>
      </c>
      <c r="I29" s="42">
        <v>86.2</v>
      </c>
      <c r="J29" s="43">
        <v>150.30105275996075</v>
      </c>
      <c r="K29" s="45">
        <v>265.9419457487679</v>
      </c>
      <c r="L29" s="48">
        <v>441.4201011181764</v>
      </c>
      <c r="M29" s="51">
        <v>4267.192</v>
      </c>
      <c r="N29" s="49">
        <v>4326.258</v>
      </c>
      <c r="O29" s="34">
        <v>59.0659999999998</v>
      </c>
      <c r="P29" s="34"/>
    </row>
    <row r="30" spans="1:16" ht="12.75">
      <c r="A30">
        <v>1998</v>
      </c>
      <c r="B30" s="33">
        <v>364.5</v>
      </c>
      <c r="C30" s="35">
        <v>76.8</v>
      </c>
      <c r="D30" s="33">
        <v>136</v>
      </c>
      <c r="E30" s="37">
        <v>124.1</v>
      </c>
      <c r="F30" s="38">
        <v>113.5</v>
      </c>
      <c r="G30" s="31">
        <v>62.077806795310096</v>
      </c>
      <c r="H30" s="41">
        <v>230</v>
      </c>
      <c r="I30" s="42">
        <v>86.3</v>
      </c>
      <c r="J30" s="43">
        <v>154.34436557924693</v>
      </c>
      <c r="K30" s="45">
        <v>291.2099208715328</v>
      </c>
      <c r="L30" s="48">
        <v>456.3325267732301</v>
      </c>
      <c r="M30" s="51">
        <v>4326.258</v>
      </c>
      <c r="N30" s="49">
        <v>4392.813</v>
      </c>
      <c r="O30" s="34">
        <v>66.55500000000029</v>
      </c>
      <c r="P30" s="34"/>
    </row>
    <row r="31" spans="1:16" ht="12.75">
      <c r="A31">
        <v>1999</v>
      </c>
      <c r="B31" s="33">
        <v>367.7</v>
      </c>
      <c r="C31" s="35">
        <v>79</v>
      </c>
      <c r="D31" s="33">
        <v>141.3</v>
      </c>
      <c r="E31" s="37">
        <v>131.6</v>
      </c>
      <c r="F31" s="38">
        <v>122</v>
      </c>
      <c r="G31" s="31">
        <v>63.88549637209167</v>
      </c>
      <c r="H31" s="41">
        <v>237.2</v>
      </c>
      <c r="I31" s="42">
        <v>82.8</v>
      </c>
      <c r="J31" s="43">
        <v>158.1710650355028</v>
      </c>
      <c r="K31" s="45">
        <v>322.17339727961456</v>
      </c>
      <c r="L31" s="48">
        <v>474.47138355396737</v>
      </c>
      <c r="M31" s="51">
        <v>4392.813</v>
      </c>
      <c r="N31" s="49">
        <v>4477.13</v>
      </c>
      <c r="O31" s="34">
        <v>84.31700000000001</v>
      </c>
      <c r="P31" s="34" t="s">
        <v>96</v>
      </c>
    </row>
    <row r="32" spans="1:15" ht="12.75">
      <c r="A32">
        <v>2000</v>
      </c>
      <c r="B32" s="33">
        <v>377.3</v>
      </c>
      <c r="C32" s="35">
        <v>80.2</v>
      </c>
      <c r="D32" s="33">
        <v>143.1</v>
      </c>
      <c r="E32" s="37">
        <v>144.4</v>
      </c>
      <c r="F32" s="38">
        <v>129.6</v>
      </c>
      <c r="G32" s="31">
        <v>67.80163633361755</v>
      </c>
      <c r="H32" s="41">
        <v>244.8</v>
      </c>
      <c r="I32" s="42">
        <v>85.3</v>
      </c>
      <c r="J32" s="43">
        <v>161.7932352814788</v>
      </c>
      <c r="K32" s="45">
        <v>350.7201089230505</v>
      </c>
      <c r="L32" s="48">
        <v>504.0674931640383</v>
      </c>
      <c r="M32" s="51">
        <v>4477.13</v>
      </c>
      <c r="N32" s="50">
        <v>4670.14</v>
      </c>
      <c r="O32" s="49">
        <f>N32-N31</f>
        <v>193.01000000000022</v>
      </c>
    </row>
    <row r="33" spans="1:15" ht="12.75">
      <c r="A33">
        <v>2001</v>
      </c>
      <c r="M33" s="51">
        <v>4670.14</v>
      </c>
      <c r="N33" s="49">
        <v>4753.2</v>
      </c>
      <c r="O33" s="49">
        <f>N33-N32</f>
        <v>83.05999999999949</v>
      </c>
    </row>
    <row r="34" spans="1:14" ht="12.75">
      <c r="A34">
        <v>2002</v>
      </c>
      <c r="M34" s="49">
        <v>4753.2</v>
      </c>
      <c r="N3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/>
  <dimension ref="A1:AJ165"/>
  <sheetViews>
    <sheetView workbookViewId="0" topLeftCell="A1">
      <pane xSplit="1" ySplit="1" topLeftCell="N1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48" sqref="R148"/>
    </sheetView>
  </sheetViews>
  <sheetFormatPr defaultColWidth="9.140625" defaultRowHeight="12.75"/>
  <cols>
    <col min="1" max="1" width="9.140625" style="62" customWidth="1"/>
    <col min="2" max="10" width="12.7109375" style="59" customWidth="1"/>
    <col min="11" max="11" width="11.140625" style="56" customWidth="1"/>
    <col min="12" max="12" width="12.7109375" style="59" customWidth="1"/>
    <col min="13" max="13" width="10.28125" style="56" customWidth="1"/>
    <col min="14" max="14" width="12.7109375" style="59" customWidth="1"/>
    <col min="15" max="15" width="18.140625" style="56" customWidth="1"/>
    <col min="16" max="16" width="15.7109375" style="56" customWidth="1"/>
    <col min="17" max="17" width="9.140625" style="56" customWidth="1"/>
    <col min="18" max="18" width="10.7109375" style="56" customWidth="1"/>
    <col min="19" max="19" width="12.421875" style="56" customWidth="1"/>
    <col min="20" max="20" width="9.140625" style="56" customWidth="1"/>
    <col min="21" max="21" width="18.28125" style="56" customWidth="1"/>
    <col min="22" max="22" width="20.57421875" style="56" bestFit="1" customWidth="1"/>
    <col min="23" max="35" width="15.7109375" style="56" customWidth="1"/>
    <col min="36" max="16384" width="9.140625" style="56" customWidth="1"/>
  </cols>
  <sheetData>
    <row r="1" spans="1:35" ht="63.75">
      <c r="A1" s="40" t="s">
        <v>98</v>
      </c>
      <c r="B1" s="52" t="s">
        <v>99</v>
      </c>
      <c r="C1" s="52" t="s">
        <v>100</v>
      </c>
      <c r="D1" s="52" t="s">
        <v>101</v>
      </c>
      <c r="E1" s="52" t="s">
        <v>102</v>
      </c>
      <c r="F1" s="52" t="s">
        <v>103</v>
      </c>
      <c r="G1" s="52" t="s">
        <v>104</v>
      </c>
      <c r="H1" s="52" t="s">
        <v>105</v>
      </c>
      <c r="I1" s="53" t="s">
        <v>106</v>
      </c>
      <c r="J1" s="53" t="s">
        <v>107</v>
      </c>
      <c r="K1" s="53" t="s">
        <v>108</v>
      </c>
      <c r="L1" s="53" t="s">
        <v>109</v>
      </c>
      <c r="M1" s="52" t="s">
        <v>110</v>
      </c>
      <c r="N1" s="54" t="s">
        <v>111</v>
      </c>
      <c r="O1" s="55" t="s">
        <v>112</v>
      </c>
      <c r="P1" s="55" t="s">
        <v>113</v>
      </c>
      <c r="U1" s="55" t="s">
        <v>112</v>
      </c>
      <c r="W1" s="52" t="s">
        <v>99</v>
      </c>
      <c r="X1" s="52" t="s">
        <v>100</v>
      </c>
      <c r="Y1" s="52" t="s">
        <v>101</v>
      </c>
      <c r="Z1" s="52" t="s">
        <v>102</v>
      </c>
      <c r="AA1" s="52" t="s">
        <v>103</v>
      </c>
      <c r="AB1" s="52" t="s">
        <v>104</v>
      </c>
      <c r="AC1" s="52" t="s">
        <v>105</v>
      </c>
      <c r="AD1" s="53" t="s">
        <v>106</v>
      </c>
      <c r="AE1" s="53" t="s">
        <v>107</v>
      </c>
      <c r="AF1" s="53" t="s">
        <v>108</v>
      </c>
      <c r="AG1" s="53" t="s">
        <v>109</v>
      </c>
      <c r="AH1" s="52" t="s">
        <v>110</v>
      </c>
      <c r="AI1" s="54" t="s">
        <v>111</v>
      </c>
    </row>
    <row r="2" spans="1:35" ht="12.75">
      <c r="A2" s="57">
        <v>1958</v>
      </c>
      <c r="B2" s="58">
        <v>15945</v>
      </c>
      <c r="C2" s="58">
        <v>872.6</v>
      </c>
      <c r="D2" s="59">
        <v>2817</v>
      </c>
      <c r="E2" s="59">
        <v>3976</v>
      </c>
      <c r="F2" s="59">
        <v>7761</v>
      </c>
      <c r="G2" s="59">
        <v>2989</v>
      </c>
      <c r="H2" s="59">
        <v>2481</v>
      </c>
      <c r="I2" s="59">
        <v>8816</v>
      </c>
      <c r="J2" s="59">
        <v>555</v>
      </c>
      <c r="K2" s="59">
        <v>1365.2</v>
      </c>
      <c r="N2" s="59">
        <v>5648</v>
      </c>
      <c r="O2" s="60">
        <f>B2+D2+E2+F2+G2+H2+I2+N2</f>
        <v>50433</v>
      </c>
      <c r="U2" s="60">
        <f>O2</f>
        <v>50433</v>
      </c>
      <c r="W2" s="60">
        <f>B2</f>
        <v>15945</v>
      </c>
      <c r="X2" s="60">
        <f aca="true" t="shared" si="0" ref="X2:AI2">C2</f>
        <v>872.6</v>
      </c>
      <c r="Y2" s="60">
        <f t="shared" si="0"/>
        <v>2817</v>
      </c>
      <c r="Z2" s="60">
        <f t="shared" si="0"/>
        <v>3976</v>
      </c>
      <c r="AA2" s="60">
        <f t="shared" si="0"/>
        <v>7761</v>
      </c>
      <c r="AB2" s="60">
        <f t="shared" si="0"/>
        <v>2989</v>
      </c>
      <c r="AC2" s="60">
        <f t="shared" si="0"/>
        <v>2481</v>
      </c>
      <c r="AD2" s="60">
        <f t="shared" si="0"/>
        <v>8816</v>
      </c>
      <c r="AE2" s="60">
        <f t="shared" si="0"/>
        <v>555</v>
      </c>
      <c r="AF2" s="60">
        <f t="shared" si="0"/>
        <v>1365.2</v>
      </c>
      <c r="AG2" s="60">
        <f t="shared" si="0"/>
        <v>0</v>
      </c>
      <c r="AH2" s="60">
        <f t="shared" si="0"/>
        <v>0</v>
      </c>
      <c r="AI2" s="60">
        <f t="shared" si="0"/>
        <v>5648</v>
      </c>
    </row>
    <row r="3" spans="1:35" ht="12.75">
      <c r="A3" s="57">
        <v>1959</v>
      </c>
      <c r="B3" s="58">
        <v>16675</v>
      </c>
      <c r="C3" s="58">
        <v>888.5</v>
      </c>
      <c r="D3" s="59">
        <v>3004</v>
      </c>
      <c r="E3" s="59">
        <v>4011</v>
      </c>
      <c r="F3" s="59">
        <v>8035</v>
      </c>
      <c r="G3" s="59">
        <v>3092</v>
      </c>
      <c r="H3" s="59">
        <v>2549</v>
      </c>
      <c r="I3" s="59">
        <v>9157</v>
      </c>
      <c r="J3" s="59">
        <v>607.6</v>
      </c>
      <c r="K3" s="59">
        <v>1453.7</v>
      </c>
      <c r="N3" s="59">
        <v>5850</v>
      </c>
      <c r="O3" s="60">
        <f aca="true" t="shared" si="1" ref="O3:O66">B3+D3+E3+F3+G3+H3+I3+N3</f>
        <v>52373</v>
      </c>
      <c r="U3" s="60">
        <f aca="true" t="shared" si="2" ref="U3:U54">O3</f>
        <v>52373</v>
      </c>
      <c r="W3" s="60">
        <f aca="true" t="shared" si="3" ref="W3:W54">B3</f>
        <v>16675</v>
      </c>
      <c r="X3" s="60">
        <f aca="true" t="shared" si="4" ref="X3:X54">C3</f>
        <v>888.5</v>
      </c>
      <c r="Y3" s="60">
        <f aca="true" t="shared" si="5" ref="Y3:Y54">D3</f>
        <v>3004</v>
      </c>
      <c r="Z3" s="60">
        <f aca="true" t="shared" si="6" ref="Z3:Z54">E3</f>
        <v>4011</v>
      </c>
      <c r="AA3" s="60">
        <f aca="true" t="shared" si="7" ref="AA3:AA54">F3</f>
        <v>8035</v>
      </c>
      <c r="AB3" s="60">
        <f aca="true" t="shared" si="8" ref="AB3:AB54">G3</f>
        <v>3092</v>
      </c>
      <c r="AC3" s="60">
        <f aca="true" t="shared" si="9" ref="AC3:AC54">H3</f>
        <v>2549</v>
      </c>
      <c r="AD3" s="60">
        <f aca="true" t="shared" si="10" ref="AD3:AD54">I3</f>
        <v>9157</v>
      </c>
      <c r="AE3" s="60">
        <f aca="true" t="shared" si="11" ref="AE3:AE54">J3</f>
        <v>607.6</v>
      </c>
      <c r="AF3" s="60">
        <f aca="true" t="shared" si="12" ref="AF3:AF54">K3</f>
        <v>1453.7</v>
      </c>
      <c r="AG3" s="60">
        <f aca="true" t="shared" si="13" ref="AG3:AG54">L3</f>
        <v>0</v>
      </c>
      <c r="AH3" s="60">
        <f aca="true" t="shared" si="14" ref="AH3:AH54">M3</f>
        <v>0</v>
      </c>
      <c r="AI3" s="60">
        <f aca="true" t="shared" si="15" ref="AI3:AI54">N3</f>
        <v>5850</v>
      </c>
    </row>
    <row r="4" spans="1:35" ht="12.75">
      <c r="A4" s="57">
        <v>1960</v>
      </c>
      <c r="B4" s="58">
        <v>16796</v>
      </c>
      <c r="C4" s="58">
        <v>911.3</v>
      </c>
      <c r="D4" s="59">
        <v>2926</v>
      </c>
      <c r="E4" s="59">
        <v>4004</v>
      </c>
      <c r="F4" s="59">
        <v>8238</v>
      </c>
      <c r="G4" s="59">
        <v>3153</v>
      </c>
      <c r="H4" s="59">
        <v>2628</v>
      </c>
      <c r="I4" s="59">
        <v>9379</v>
      </c>
      <c r="J4" s="59">
        <v>655.7</v>
      </c>
      <c r="K4" s="59">
        <v>1547.6</v>
      </c>
      <c r="N4" s="59">
        <v>6083</v>
      </c>
      <c r="O4" s="60">
        <f t="shared" si="1"/>
        <v>53207</v>
      </c>
      <c r="U4" s="60">
        <f t="shared" si="2"/>
        <v>53207</v>
      </c>
      <c r="W4" s="60">
        <f t="shared" si="3"/>
        <v>16796</v>
      </c>
      <c r="X4" s="60">
        <f t="shared" si="4"/>
        <v>911.3</v>
      </c>
      <c r="Y4" s="60">
        <f t="shared" si="5"/>
        <v>2926</v>
      </c>
      <c r="Z4" s="60">
        <f t="shared" si="6"/>
        <v>4004</v>
      </c>
      <c r="AA4" s="60">
        <f t="shared" si="7"/>
        <v>8238</v>
      </c>
      <c r="AB4" s="60">
        <f t="shared" si="8"/>
        <v>3153</v>
      </c>
      <c r="AC4" s="60">
        <f t="shared" si="9"/>
        <v>2628</v>
      </c>
      <c r="AD4" s="60">
        <f t="shared" si="10"/>
        <v>9379</v>
      </c>
      <c r="AE4" s="60">
        <f t="shared" si="11"/>
        <v>655.7</v>
      </c>
      <c r="AF4" s="60">
        <f t="shared" si="12"/>
        <v>1547.6</v>
      </c>
      <c r="AG4" s="60">
        <f t="shared" si="13"/>
        <v>0</v>
      </c>
      <c r="AH4" s="60">
        <f t="shared" si="14"/>
        <v>0</v>
      </c>
      <c r="AI4" s="60">
        <f t="shared" si="15"/>
        <v>6083</v>
      </c>
    </row>
    <row r="5" spans="1:35" ht="12.75">
      <c r="A5" s="57">
        <v>1961</v>
      </c>
      <c r="B5" s="58">
        <v>16326</v>
      </c>
      <c r="C5" s="58">
        <v>917.3</v>
      </c>
      <c r="D5" s="59">
        <v>2859</v>
      </c>
      <c r="E5" s="59">
        <v>3903</v>
      </c>
      <c r="F5" s="59">
        <v>8195</v>
      </c>
      <c r="G5" s="59">
        <v>3142</v>
      </c>
      <c r="H5" s="59">
        <v>2688</v>
      </c>
      <c r="I5" s="59">
        <v>9687</v>
      </c>
      <c r="J5" s="59">
        <v>693.2</v>
      </c>
      <c r="K5" s="59">
        <v>1640.1</v>
      </c>
      <c r="N5" s="59">
        <v>6315</v>
      </c>
      <c r="O5" s="60">
        <f t="shared" si="1"/>
        <v>53115</v>
      </c>
      <c r="U5" s="60">
        <f t="shared" si="2"/>
        <v>53115</v>
      </c>
      <c r="W5" s="60">
        <f t="shared" si="3"/>
        <v>16326</v>
      </c>
      <c r="X5" s="60">
        <f t="shared" si="4"/>
        <v>917.3</v>
      </c>
      <c r="Y5" s="60">
        <f t="shared" si="5"/>
        <v>2859</v>
      </c>
      <c r="Z5" s="60">
        <f t="shared" si="6"/>
        <v>3903</v>
      </c>
      <c r="AA5" s="60">
        <f t="shared" si="7"/>
        <v>8195</v>
      </c>
      <c r="AB5" s="60">
        <f t="shared" si="8"/>
        <v>3142</v>
      </c>
      <c r="AC5" s="60">
        <f t="shared" si="9"/>
        <v>2688</v>
      </c>
      <c r="AD5" s="60">
        <f t="shared" si="10"/>
        <v>9687</v>
      </c>
      <c r="AE5" s="60">
        <f t="shared" si="11"/>
        <v>693.2</v>
      </c>
      <c r="AF5" s="60">
        <f t="shared" si="12"/>
        <v>1640.1</v>
      </c>
      <c r="AG5" s="60">
        <f t="shared" si="13"/>
        <v>0</v>
      </c>
      <c r="AH5" s="60">
        <f t="shared" si="14"/>
        <v>0</v>
      </c>
      <c r="AI5" s="60">
        <f t="shared" si="15"/>
        <v>6315</v>
      </c>
    </row>
    <row r="6" spans="1:35" ht="12.75">
      <c r="A6" s="57">
        <v>1962</v>
      </c>
      <c r="B6" s="58">
        <v>16853</v>
      </c>
      <c r="C6" s="58">
        <v>926.4</v>
      </c>
      <c r="D6" s="59">
        <v>2948</v>
      </c>
      <c r="E6" s="59">
        <v>3906</v>
      </c>
      <c r="F6" s="59">
        <v>8359</v>
      </c>
      <c r="G6" s="59">
        <v>3207</v>
      </c>
      <c r="H6" s="59">
        <v>2754</v>
      </c>
      <c r="I6" s="59">
        <v>10038</v>
      </c>
      <c r="J6" s="59">
        <v>753.7</v>
      </c>
      <c r="K6" s="59">
        <v>1739.3</v>
      </c>
      <c r="N6" s="59">
        <v>6550</v>
      </c>
      <c r="O6" s="60">
        <f t="shared" si="1"/>
        <v>54615</v>
      </c>
      <c r="U6" s="60">
        <f t="shared" si="2"/>
        <v>54615</v>
      </c>
      <c r="W6" s="60">
        <f t="shared" si="3"/>
        <v>16853</v>
      </c>
      <c r="X6" s="60">
        <f t="shared" si="4"/>
        <v>926.4</v>
      </c>
      <c r="Y6" s="60">
        <f t="shared" si="5"/>
        <v>2948</v>
      </c>
      <c r="Z6" s="60">
        <f t="shared" si="6"/>
        <v>3906</v>
      </c>
      <c r="AA6" s="60">
        <f t="shared" si="7"/>
        <v>8359</v>
      </c>
      <c r="AB6" s="60">
        <f t="shared" si="8"/>
        <v>3207</v>
      </c>
      <c r="AC6" s="60">
        <f t="shared" si="9"/>
        <v>2754</v>
      </c>
      <c r="AD6" s="60">
        <f t="shared" si="10"/>
        <v>10038</v>
      </c>
      <c r="AE6" s="60">
        <f t="shared" si="11"/>
        <v>753.7</v>
      </c>
      <c r="AF6" s="60">
        <f t="shared" si="12"/>
        <v>1739.3</v>
      </c>
      <c r="AG6" s="60">
        <f t="shared" si="13"/>
        <v>0</v>
      </c>
      <c r="AH6" s="60">
        <f t="shared" si="14"/>
        <v>0</v>
      </c>
      <c r="AI6" s="60">
        <f t="shared" si="15"/>
        <v>6550</v>
      </c>
    </row>
    <row r="7" spans="1:35" ht="12.75">
      <c r="A7" s="57">
        <v>1963</v>
      </c>
      <c r="B7" s="58">
        <v>16996</v>
      </c>
      <c r="C7" s="58">
        <v>930.6</v>
      </c>
      <c r="D7" s="59">
        <v>3010</v>
      </c>
      <c r="E7" s="59">
        <v>3903</v>
      </c>
      <c r="F7" s="59">
        <v>8520</v>
      </c>
      <c r="G7" s="59">
        <v>3258</v>
      </c>
      <c r="H7" s="59">
        <v>2830</v>
      </c>
      <c r="I7" s="59">
        <v>10338</v>
      </c>
      <c r="J7" s="59">
        <v>813.7</v>
      </c>
      <c r="K7" s="59">
        <v>1837</v>
      </c>
      <c r="N7" s="59">
        <v>6868</v>
      </c>
      <c r="O7" s="60">
        <f t="shared" si="1"/>
        <v>55723</v>
      </c>
      <c r="U7" s="60">
        <f t="shared" si="2"/>
        <v>55723</v>
      </c>
      <c r="W7" s="60">
        <f t="shared" si="3"/>
        <v>16996</v>
      </c>
      <c r="X7" s="60">
        <f t="shared" si="4"/>
        <v>930.6</v>
      </c>
      <c r="Y7" s="60">
        <f t="shared" si="5"/>
        <v>3010</v>
      </c>
      <c r="Z7" s="60">
        <f t="shared" si="6"/>
        <v>3903</v>
      </c>
      <c r="AA7" s="60">
        <f t="shared" si="7"/>
        <v>8520</v>
      </c>
      <c r="AB7" s="60">
        <f t="shared" si="8"/>
        <v>3258</v>
      </c>
      <c r="AC7" s="60">
        <f t="shared" si="9"/>
        <v>2830</v>
      </c>
      <c r="AD7" s="60">
        <f t="shared" si="10"/>
        <v>10338</v>
      </c>
      <c r="AE7" s="60">
        <f t="shared" si="11"/>
        <v>813.7</v>
      </c>
      <c r="AF7" s="60">
        <f t="shared" si="12"/>
        <v>1837</v>
      </c>
      <c r="AG7" s="60">
        <f t="shared" si="13"/>
        <v>0</v>
      </c>
      <c r="AH7" s="60">
        <f t="shared" si="14"/>
        <v>0</v>
      </c>
      <c r="AI7" s="60">
        <f t="shared" si="15"/>
        <v>6868</v>
      </c>
    </row>
    <row r="8" spans="1:35" ht="12.75">
      <c r="A8" s="57">
        <v>1964</v>
      </c>
      <c r="B8" s="58">
        <v>17274</v>
      </c>
      <c r="C8" s="58">
        <v>951.5</v>
      </c>
      <c r="D8" s="59">
        <v>3097</v>
      </c>
      <c r="E8" s="59">
        <v>3951</v>
      </c>
      <c r="F8" s="59">
        <v>8812</v>
      </c>
      <c r="G8" s="59">
        <v>3347</v>
      </c>
      <c r="H8" s="59">
        <v>2911</v>
      </c>
      <c r="I8" s="59">
        <v>10751</v>
      </c>
      <c r="J8" s="59">
        <v>880.8</v>
      </c>
      <c r="K8" s="59">
        <v>1963</v>
      </c>
      <c r="N8" s="59">
        <v>7248</v>
      </c>
      <c r="O8" s="60">
        <f t="shared" si="1"/>
        <v>57391</v>
      </c>
      <c r="U8" s="60">
        <f t="shared" si="2"/>
        <v>57391</v>
      </c>
      <c r="W8" s="60">
        <f t="shared" si="3"/>
        <v>17274</v>
      </c>
      <c r="X8" s="60">
        <f t="shared" si="4"/>
        <v>951.5</v>
      </c>
      <c r="Y8" s="60">
        <f t="shared" si="5"/>
        <v>3097</v>
      </c>
      <c r="Z8" s="60">
        <f t="shared" si="6"/>
        <v>3951</v>
      </c>
      <c r="AA8" s="60">
        <f t="shared" si="7"/>
        <v>8812</v>
      </c>
      <c r="AB8" s="60">
        <f t="shared" si="8"/>
        <v>3347</v>
      </c>
      <c r="AC8" s="60">
        <f t="shared" si="9"/>
        <v>2911</v>
      </c>
      <c r="AD8" s="60">
        <f t="shared" si="10"/>
        <v>10751</v>
      </c>
      <c r="AE8" s="60">
        <f t="shared" si="11"/>
        <v>880.8</v>
      </c>
      <c r="AF8" s="60">
        <f t="shared" si="12"/>
        <v>1963</v>
      </c>
      <c r="AG8" s="60">
        <f t="shared" si="13"/>
        <v>0</v>
      </c>
      <c r="AH8" s="60">
        <f t="shared" si="14"/>
        <v>0</v>
      </c>
      <c r="AI8" s="60">
        <f t="shared" si="15"/>
        <v>7248</v>
      </c>
    </row>
    <row r="9" spans="1:35" ht="12.75">
      <c r="A9" s="57">
        <v>1965</v>
      </c>
      <c r="B9" s="58">
        <v>18062</v>
      </c>
      <c r="C9" s="58">
        <v>979.4</v>
      </c>
      <c r="D9" s="59">
        <v>3232</v>
      </c>
      <c r="E9" s="59">
        <v>4036</v>
      </c>
      <c r="F9" s="59">
        <v>9239</v>
      </c>
      <c r="G9" s="59">
        <v>3477</v>
      </c>
      <c r="H9" s="59">
        <v>2977</v>
      </c>
      <c r="I9" s="59">
        <v>11025</v>
      </c>
      <c r="J9" s="59">
        <v>954.9</v>
      </c>
      <c r="K9" s="59">
        <v>2079.5</v>
      </c>
      <c r="N9" s="59">
        <v>7696</v>
      </c>
      <c r="O9" s="60">
        <f t="shared" si="1"/>
        <v>59744</v>
      </c>
      <c r="U9" s="60">
        <f t="shared" si="2"/>
        <v>59744</v>
      </c>
      <c r="W9" s="60">
        <f t="shared" si="3"/>
        <v>18062</v>
      </c>
      <c r="X9" s="60">
        <f t="shared" si="4"/>
        <v>979.4</v>
      </c>
      <c r="Y9" s="60">
        <f t="shared" si="5"/>
        <v>3232</v>
      </c>
      <c r="Z9" s="60">
        <f t="shared" si="6"/>
        <v>4036</v>
      </c>
      <c r="AA9" s="60">
        <f t="shared" si="7"/>
        <v>9239</v>
      </c>
      <c r="AB9" s="60">
        <f t="shared" si="8"/>
        <v>3477</v>
      </c>
      <c r="AC9" s="60">
        <f t="shared" si="9"/>
        <v>2977</v>
      </c>
      <c r="AD9" s="60">
        <f t="shared" si="10"/>
        <v>11025</v>
      </c>
      <c r="AE9" s="60">
        <f t="shared" si="11"/>
        <v>954.9</v>
      </c>
      <c r="AF9" s="60">
        <f t="shared" si="12"/>
        <v>2079.5</v>
      </c>
      <c r="AG9" s="60">
        <f t="shared" si="13"/>
        <v>0</v>
      </c>
      <c r="AH9" s="60">
        <f t="shared" si="14"/>
        <v>0</v>
      </c>
      <c r="AI9" s="60">
        <f t="shared" si="15"/>
        <v>7696</v>
      </c>
    </row>
    <row r="10" spans="1:35" ht="12.75">
      <c r="A10" s="57">
        <v>1966</v>
      </c>
      <c r="B10" s="58">
        <v>19213</v>
      </c>
      <c r="C10" s="58">
        <v>1016.9</v>
      </c>
      <c r="D10" s="59">
        <v>3317</v>
      </c>
      <c r="E10" s="59">
        <v>4158</v>
      </c>
      <c r="F10" s="59">
        <v>9637</v>
      </c>
      <c r="G10" s="59">
        <v>3608</v>
      </c>
      <c r="H10" s="59">
        <v>3058</v>
      </c>
      <c r="I10" s="59">
        <v>11381</v>
      </c>
      <c r="J10" s="59">
        <v>1051.5</v>
      </c>
      <c r="K10" s="59">
        <v>2204.2</v>
      </c>
      <c r="N10" s="59">
        <v>8220</v>
      </c>
      <c r="O10" s="60">
        <f t="shared" si="1"/>
        <v>62592</v>
      </c>
      <c r="U10" s="60">
        <f t="shared" si="2"/>
        <v>62592</v>
      </c>
      <c r="W10" s="60">
        <f t="shared" si="3"/>
        <v>19213</v>
      </c>
      <c r="X10" s="60">
        <f t="shared" si="4"/>
        <v>1016.9</v>
      </c>
      <c r="Y10" s="60">
        <f t="shared" si="5"/>
        <v>3317</v>
      </c>
      <c r="Z10" s="60">
        <f t="shared" si="6"/>
        <v>4158</v>
      </c>
      <c r="AA10" s="60">
        <f t="shared" si="7"/>
        <v>9637</v>
      </c>
      <c r="AB10" s="60">
        <f t="shared" si="8"/>
        <v>3608</v>
      </c>
      <c r="AC10" s="60">
        <f t="shared" si="9"/>
        <v>3058</v>
      </c>
      <c r="AD10" s="60">
        <f t="shared" si="10"/>
        <v>11381</v>
      </c>
      <c r="AE10" s="60">
        <f t="shared" si="11"/>
        <v>1051.5</v>
      </c>
      <c r="AF10" s="60">
        <f t="shared" si="12"/>
        <v>2204.2</v>
      </c>
      <c r="AG10" s="60">
        <f t="shared" si="13"/>
        <v>0</v>
      </c>
      <c r="AH10" s="60">
        <f t="shared" si="14"/>
        <v>0</v>
      </c>
      <c r="AI10" s="60">
        <f t="shared" si="15"/>
        <v>8220</v>
      </c>
    </row>
    <row r="11" spans="1:35" ht="12.75">
      <c r="A11" s="57">
        <v>1967</v>
      </c>
      <c r="B11" s="58">
        <v>19447</v>
      </c>
      <c r="C11" s="58">
        <v>1047.8</v>
      </c>
      <c r="D11" s="59">
        <v>3248</v>
      </c>
      <c r="E11" s="59">
        <v>4268</v>
      </c>
      <c r="F11" s="59">
        <v>9906</v>
      </c>
      <c r="G11" s="59">
        <v>3700</v>
      </c>
      <c r="H11" s="59">
        <v>3185</v>
      </c>
      <c r="I11" s="59">
        <v>11823</v>
      </c>
      <c r="J11" s="59">
        <v>1144.6</v>
      </c>
      <c r="K11" s="59">
        <v>2434.3</v>
      </c>
      <c r="N11" s="59">
        <v>8672</v>
      </c>
      <c r="O11" s="60">
        <f t="shared" si="1"/>
        <v>64249</v>
      </c>
      <c r="U11" s="60">
        <f t="shared" si="2"/>
        <v>64249</v>
      </c>
      <c r="W11" s="60">
        <f t="shared" si="3"/>
        <v>19447</v>
      </c>
      <c r="X11" s="60">
        <f t="shared" si="4"/>
        <v>1047.8</v>
      </c>
      <c r="Y11" s="60">
        <f t="shared" si="5"/>
        <v>3248</v>
      </c>
      <c r="Z11" s="60">
        <f t="shared" si="6"/>
        <v>4268</v>
      </c>
      <c r="AA11" s="60">
        <f t="shared" si="7"/>
        <v>9906</v>
      </c>
      <c r="AB11" s="60">
        <f t="shared" si="8"/>
        <v>3700</v>
      </c>
      <c r="AC11" s="60">
        <f t="shared" si="9"/>
        <v>3185</v>
      </c>
      <c r="AD11" s="60">
        <f t="shared" si="10"/>
        <v>11823</v>
      </c>
      <c r="AE11" s="60">
        <f t="shared" si="11"/>
        <v>1144.6</v>
      </c>
      <c r="AF11" s="60">
        <f t="shared" si="12"/>
        <v>2434.3</v>
      </c>
      <c r="AG11" s="60">
        <f t="shared" si="13"/>
        <v>0</v>
      </c>
      <c r="AH11" s="60">
        <f t="shared" si="14"/>
        <v>0</v>
      </c>
      <c r="AI11" s="60">
        <f t="shared" si="15"/>
        <v>8672</v>
      </c>
    </row>
    <row r="12" spans="1:35" ht="12.75">
      <c r="A12" s="57">
        <v>1968</v>
      </c>
      <c r="B12" s="58">
        <v>19781</v>
      </c>
      <c r="C12" s="58">
        <v>1065.1</v>
      </c>
      <c r="D12" s="59">
        <v>3350</v>
      </c>
      <c r="E12" s="59">
        <v>4318</v>
      </c>
      <c r="F12" s="59">
        <v>10308</v>
      </c>
      <c r="G12" s="59">
        <v>3791</v>
      </c>
      <c r="H12" s="59">
        <v>3337</v>
      </c>
      <c r="I12" s="59">
        <v>12293</v>
      </c>
      <c r="J12" s="59">
        <v>1210</v>
      </c>
      <c r="K12" s="59">
        <v>2638.6</v>
      </c>
      <c r="N12" s="59">
        <v>9102</v>
      </c>
      <c r="O12" s="60">
        <f t="shared" si="1"/>
        <v>66280</v>
      </c>
      <c r="U12" s="60">
        <f t="shared" si="2"/>
        <v>66280</v>
      </c>
      <c r="W12" s="60">
        <f t="shared" si="3"/>
        <v>19781</v>
      </c>
      <c r="X12" s="60">
        <f t="shared" si="4"/>
        <v>1065.1</v>
      </c>
      <c r="Y12" s="60">
        <f t="shared" si="5"/>
        <v>3350</v>
      </c>
      <c r="Z12" s="60">
        <f t="shared" si="6"/>
        <v>4318</v>
      </c>
      <c r="AA12" s="60">
        <f t="shared" si="7"/>
        <v>10308</v>
      </c>
      <c r="AB12" s="60">
        <f t="shared" si="8"/>
        <v>3791</v>
      </c>
      <c r="AC12" s="60">
        <f t="shared" si="9"/>
        <v>3337</v>
      </c>
      <c r="AD12" s="60">
        <f t="shared" si="10"/>
        <v>12293</v>
      </c>
      <c r="AE12" s="60">
        <f t="shared" si="11"/>
        <v>1210</v>
      </c>
      <c r="AF12" s="60">
        <f t="shared" si="12"/>
        <v>2638.6</v>
      </c>
      <c r="AG12" s="60">
        <f t="shared" si="13"/>
        <v>0</v>
      </c>
      <c r="AH12" s="60">
        <f t="shared" si="14"/>
        <v>0</v>
      </c>
      <c r="AI12" s="60">
        <f t="shared" si="15"/>
        <v>9102</v>
      </c>
    </row>
    <row r="13" spans="1:35" ht="12.75">
      <c r="A13" s="57">
        <v>1969</v>
      </c>
      <c r="B13" s="58">
        <v>20166</v>
      </c>
      <c r="C13" s="58">
        <v>1093.6</v>
      </c>
      <c r="D13" s="59">
        <v>3575</v>
      </c>
      <c r="E13" s="59">
        <v>4442</v>
      </c>
      <c r="F13" s="59">
        <v>10785</v>
      </c>
      <c r="G13" s="59">
        <v>3919</v>
      </c>
      <c r="H13" s="59">
        <v>3512</v>
      </c>
      <c r="I13" s="59">
        <v>12795</v>
      </c>
      <c r="J13" s="59">
        <v>1328.5</v>
      </c>
      <c r="K13" s="59">
        <v>2862.1</v>
      </c>
      <c r="N13" s="59">
        <v>9437</v>
      </c>
      <c r="O13" s="60">
        <f t="shared" si="1"/>
        <v>68631</v>
      </c>
      <c r="U13" s="60">
        <f t="shared" si="2"/>
        <v>68631</v>
      </c>
      <c r="W13" s="60">
        <f t="shared" si="3"/>
        <v>20166</v>
      </c>
      <c r="X13" s="60">
        <f t="shared" si="4"/>
        <v>1093.6</v>
      </c>
      <c r="Y13" s="60">
        <f t="shared" si="5"/>
        <v>3575</v>
      </c>
      <c r="Z13" s="60">
        <f t="shared" si="6"/>
        <v>4442</v>
      </c>
      <c r="AA13" s="60">
        <f t="shared" si="7"/>
        <v>10785</v>
      </c>
      <c r="AB13" s="60">
        <f t="shared" si="8"/>
        <v>3919</v>
      </c>
      <c r="AC13" s="60">
        <f t="shared" si="9"/>
        <v>3512</v>
      </c>
      <c r="AD13" s="60">
        <f t="shared" si="10"/>
        <v>12795</v>
      </c>
      <c r="AE13" s="60">
        <f t="shared" si="11"/>
        <v>1328.5</v>
      </c>
      <c r="AF13" s="60">
        <f t="shared" si="12"/>
        <v>2862.1</v>
      </c>
      <c r="AG13" s="60">
        <f t="shared" si="13"/>
        <v>0</v>
      </c>
      <c r="AH13" s="60">
        <f t="shared" si="14"/>
        <v>0</v>
      </c>
      <c r="AI13" s="60">
        <f t="shared" si="15"/>
        <v>9437</v>
      </c>
    </row>
    <row r="14" spans="1:35" ht="12.75">
      <c r="A14" s="57">
        <v>1970</v>
      </c>
      <c r="B14" s="58">
        <v>19366</v>
      </c>
      <c r="C14" s="58">
        <v>1104.3</v>
      </c>
      <c r="D14" s="59">
        <v>3588</v>
      </c>
      <c r="E14" s="59">
        <v>4515</v>
      </c>
      <c r="F14" s="59">
        <v>11034</v>
      </c>
      <c r="G14" s="59">
        <v>4006</v>
      </c>
      <c r="H14" s="59">
        <v>3645</v>
      </c>
      <c r="I14" s="59">
        <v>13104</v>
      </c>
      <c r="J14" s="59">
        <v>1397.3</v>
      </c>
      <c r="K14" s="59">
        <v>3052.5</v>
      </c>
      <c r="L14" s="41"/>
      <c r="N14" s="59">
        <v>9823</v>
      </c>
      <c r="O14" s="60">
        <f t="shared" si="1"/>
        <v>69081</v>
      </c>
      <c r="U14" s="60">
        <f t="shared" si="2"/>
        <v>69081</v>
      </c>
      <c r="W14" s="60">
        <f t="shared" si="3"/>
        <v>19366</v>
      </c>
      <c r="X14" s="60">
        <f t="shared" si="4"/>
        <v>1104.3</v>
      </c>
      <c r="Y14" s="60">
        <f t="shared" si="5"/>
        <v>3588</v>
      </c>
      <c r="Z14" s="60">
        <f t="shared" si="6"/>
        <v>4515</v>
      </c>
      <c r="AA14" s="60">
        <f t="shared" si="7"/>
        <v>11034</v>
      </c>
      <c r="AB14" s="60">
        <f t="shared" si="8"/>
        <v>4006</v>
      </c>
      <c r="AC14" s="60">
        <f t="shared" si="9"/>
        <v>3645</v>
      </c>
      <c r="AD14" s="60">
        <f t="shared" si="10"/>
        <v>13104</v>
      </c>
      <c r="AE14" s="60">
        <f t="shared" si="11"/>
        <v>1397.3</v>
      </c>
      <c r="AF14" s="60">
        <f t="shared" si="12"/>
        <v>3052.5</v>
      </c>
      <c r="AG14" s="60">
        <f t="shared" si="13"/>
        <v>0</v>
      </c>
      <c r="AH14" s="60">
        <f t="shared" si="14"/>
        <v>0</v>
      </c>
      <c r="AI14" s="60">
        <f t="shared" si="15"/>
        <v>9823</v>
      </c>
    </row>
    <row r="15" spans="1:35" ht="12.75">
      <c r="A15" s="57">
        <v>1971</v>
      </c>
      <c r="B15" s="58">
        <v>18623</v>
      </c>
      <c r="C15" s="58">
        <v>1080.5</v>
      </c>
      <c r="D15" s="59">
        <v>3704</v>
      </c>
      <c r="E15" s="59">
        <v>4476</v>
      </c>
      <c r="F15" s="59">
        <v>11338</v>
      </c>
      <c r="G15" s="59">
        <v>4014</v>
      </c>
      <c r="H15" s="59">
        <v>3772</v>
      </c>
      <c r="I15" s="59">
        <v>13293</v>
      </c>
      <c r="J15" s="59">
        <v>1401.7</v>
      </c>
      <c r="K15" s="59">
        <v>3238.5</v>
      </c>
      <c r="L15" s="41"/>
      <c r="N15" s="59">
        <v>10185</v>
      </c>
      <c r="O15" s="60">
        <f t="shared" si="1"/>
        <v>69405</v>
      </c>
      <c r="P15" s="61"/>
      <c r="U15" s="60">
        <f t="shared" si="2"/>
        <v>69405</v>
      </c>
      <c r="W15" s="60">
        <f t="shared" si="3"/>
        <v>18623</v>
      </c>
      <c r="X15" s="60">
        <f t="shared" si="4"/>
        <v>1080.5</v>
      </c>
      <c r="Y15" s="60">
        <f t="shared" si="5"/>
        <v>3704</v>
      </c>
      <c r="Z15" s="60">
        <f t="shared" si="6"/>
        <v>4476</v>
      </c>
      <c r="AA15" s="60">
        <f t="shared" si="7"/>
        <v>11338</v>
      </c>
      <c r="AB15" s="60">
        <f t="shared" si="8"/>
        <v>4014</v>
      </c>
      <c r="AC15" s="60">
        <f t="shared" si="9"/>
        <v>3772</v>
      </c>
      <c r="AD15" s="60">
        <f t="shared" si="10"/>
        <v>13293</v>
      </c>
      <c r="AE15" s="60">
        <f t="shared" si="11"/>
        <v>1401.7</v>
      </c>
      <c r="AF15" s="60">
        <f t="shared" si="12"/>
        <v>3238.5</v>
      </c>
      <c r="AG15" s="60">
        <f t="shared" si="13"/>
        <v>0</v>
      </c>
      <c r="AH15" s="60">
        <f t="shared" si="14"/>
        <v>0</v>
      </c>
      <c r="AI15" s="60">
        <f t="shared" si="15"/>
        <v>10185</v>
      </c>
    </row>
    <row r="16" spans="1:35" ht="12.75">
      <c r="A16" s="62">
        <v>1972</v>
      </c>
      <c r="B16" s="59">
        <v>19151</v>
      </c>
      <c r="C16" s="59">
        <v>1094</v>
      </c>
      <c r="D16" s="59">
        <v>3889</v>
      </c>
      <c r="E16" s="59">
        <v>4541</v>
      </c>
      <c r="F16" s="59">
        <v>11822</v>
      </c>
      <c r="G16" s="59">
        <v>4127</v>
      </c>
      <c r="H16" s="59">
        <v>3908</v>
      </c>
      <c r="I16" s="59">
        <v>13737.9</v>
      </c>
      <c r="J16" s="59">
        <v>1490.5</v>
      </c>
      <c r="K16" s="59">
        <v>3411.9</v>
      </c>
      <c r="L16" s="41">
        <v>1402.7</v>
      </c>
      <c r="M16" s="60">
        <v>7432.8</v>
      </c>
      <c r="N16" s="59">
        <v>10649</v>
      </c>
      <c r="O16" s="60">
        <f t="shared" si="1"/>
        <v>71824.9</v>
      </c>
      <c r="P16" s="60">
        <f>I16-J16-K16-L16-M16</f>
        <v>0</v>
      </c>
      <c r="U16" s="60">
        <f t="shared" si="2"/>
        <v>71824.9</v>
      </c>
      <c r="W16" s="60">
        <f t="shared" si="3"/>
        <v>19151</v>
      </c>
      <c r="X16" s="60">
        <f t="shared" si="4"/>
        <v>1094</v>
      </c>
      <c r="Y16" s="60">
        <f t="shared" si="5"/>
        <v>3889</v>
      </c>
      <c r="Z16" s="60">
        <f t="shared" si="6"/>
        <v>4541</v>
      </c>
      <c r="AA16" s="60">
        <f t="shared" si="7"/>
        <v>11822</v>
      </c>
      <c r="AB16" s="60">
        <f t="shared" si="8"/>
        <v>4127</v>
      </c>
      <c r="AC16" s="60">
        <f t="shared" si="9"/>
        <v>3908</v>
      </c>
      <c r="AD16" s="60">
        <f t="shared" si="10"/>
        <v>13737.9</v>
      </c>
      <c r="AE16" s="60">
        <f t="shared" si="11"/>
        <v>1490.5</v>
      </c>
      <c r="AF16" s="60">
        <f t="shared" si="12"/>
        <v>3411.9</v>
      </c>
      <c r="AG16" s="60">
        <f t="shared" si="13"/>
        <v>1402.7</v>
      </c>
      <c r="AH16" s="60">
        <f t="shared" si="14"/>
        <v>7432.8</v>
      </c>
      <c r="AI16" s="60">
        <f t="shared" si="15"/>
        <v>10649</v>
      </c>
    </row>
    <row r="17" spans="1:35" ht="12.75">
      <c r="A17" s="62">
        <v>1973</v>
      </c>
      <c r="B17" s="59">
        <v>20154</v>
      </c>
      <c r="C17" s="59">
        <v>1110.7</v>
      </c>
      <c r="D17" s="59">
        <v>4097</v>
      </c>
      <c r="E17" s="59">
        <v>4656</v>
      </c>
      <c r="F17" s="59">
        <v>12315</v>
      </c>
      <c r="G17" s="59">
        <v>4291</v>
      </c>
      <c r="H17" s="59">
        <v>4046</v>
      </c>
      <c r="I17" s="59">
        <v>14195.8</v>
      </c>
      <c r="J17" s="59">
        <v>1609.5</v>
      </c>
      <c r="K17" s="59">
        <v>3640.8</v>
      </c>
      <c r="L17" s="41">
        <v>1410.3</v>
      </c>
      <c r="M17" s="60">
        <v>7535.2</v>
      </c>
      <c r="N17" s="59">
        <v>11068</v>
      </c>
      <c r="O17" s="60">
        <f t="shared" si="1"/>
        <v>74822.8</v>
      </c>
      <c r="P17" s="60">
        <f aca="true" t="shared" si="16" ref="P17:P74">I17-J17-K17-L17-M17</f>
        <v>0</v>
      </c>
      <c r="U17" s="60">
        <f t="shared" si="2"/>
        <v>74822.8</v>
      </c>
      <c r="W17" s="60">
        <f t="shared" si="3"/>
        <v>20154</v>
      </c>
      <c r="X17" s="60">
        <f t="shared" si="4"/>
        <v>1110.7</v>
      </c>
      <c r="Y17" s="60">
        <f t="shared" si="5"/>
        <v>4097</v>
      </c>
      <c r="Z17" s="60">
        <f t="shared" si="6"/>
        <v>4656</v>
      </c>
      <c r="AA17" s="60">
        <f t="shared" si="7"/>
        <v>12315</v>
      </c>
      <c r="AB17" s="60">
        <f t="shared" si="8"/>
        <v>4291</v>
      </c>
      <c r="AC17" s="60">
        <f t="shared" si="9"/>
        <v>4046</v>
      </c>
      <c r="AD17" s="60">
        <f t="shared" si="10"/>
        <v>14195.8</v>
      </c>
      <c r="AE17" s="60">
        <f t="shared" si="11"/>
        <v>1609.5</v>
      </c>
      <c r="AF17" s="60">
        <f t="shared" si="12"/>
        <v>3640.8</v>
      </c>
      <c r="AG17" s="60">
        <f t="shared" si="13"/>
        <v>1410.3</v>
      </c>
      <c r="AH17" s="60">
        <f t="shared" si="14"/>
        <v>7535.2</v>
      </c>
      <c r="AI17" s="60">
        <f t="shared" si="15"/>
        <v>11068</v>
      </c>
    </row>
    <row r="18" spans="1:35" ht="12.75">
      <c r="A18" s="62">
        <v>1974</v>
      </c>
      <c r="B18" s="59">
        <v>20078</v>
      </c>
      <c r="C18" s="59">
        <v>1111.3</v>
      </c>
      <c r="D18" s="59">
        <v>4020</v>
      </c>
      <c r="E18" s="59">
        <v>4725</v>
      </c>
      <c r="F18" s="59">
        <v>12539</v>
      </c>
      <c r="G18" s="59">
        <v>4447</v>
      </c>
      <c r="H18" s="59">
        <v>4148</v>
      </c>
      <c r="I18" s="59">
        <v>14616</v>
      </c>
      <c r="J18" s="59">
        <v>1685.8</v>
      </c>
      <c r="K18" s="59">
        <v>3886.7</v>
      </c>
      <c r="L18" s="41">
        <v>1437.9</v>
      </c>
      <c r="M18" s="60">
        <v>7605.6</v>
      </c>
      <c r="N18" s="59">
        <v>11446</v>
      </c>
      <c r="O18" s="60">
        <f t="shared" si="1"/>
        <v>76019</v>
      </c>
      <c r="P18" s="60">
        <f t="shared" si="16"/>
        <v>0</v>
      </c>
      <c r="U18" s="60">
        <f t="shared" si="2"/>
        <v>76019</v>
      </c>
      <c r="W18" s="60">
        <f t="shared" si="3"/>
        <v>20078</v>
      </c>
      <c r="X18" s="60">
        <f t="shared" si="4"/>
        <v>1111.3</v>
      </c>
      <c r="Y18" s="60">
        <f t="shared" si="5"/>
        <v>4020</v>
      </c>
      <c r="Z18" s="60">
        <f t="shared" si="6"/>
        <v>4725</v>
      </c>
      <c r="AA18" s="60">
        <f t="shared" si="7"/>
        <v>12539</v>
      </c>
      <c r="AB18" s="60">
        <f t="shared" si="8"/>
        <v>4447</v>
      </c>
      <c r="AC18" s="60">
        <f t="shared" si="9"/>
        <v>4148</v>
      </c>
      <c r="AD18" s="60">
        <f t="shared" si="10"/>
        <v>14616</v>
      </c>
      <c r="AE18" s="60">
        <f t="shared" si="11"/>
        <v>1685.8</v>
      </c>
      <c r="AF18" s="60">
        <f t="shared" si="12"/>
        <v>3886.7</v>
      </c>
      <c r="AG18" s="60">
        <f t="shared" si="13"/>
        <v>1437.9</v>
      </c>
      <c r="AH18" s="60">
        <f t="shared" si="14"/>
        <v>7605.6</v>
      </c>
      <c r="AI18" s="60">
        <f t="shared" si="15"/>
        <v>11446</v>
      </c>
    </row>
    <row r="19" spans="1:35" ht="12.75">
      <c r="A19" s="62">
        <v>1975</v>
      </c>
      <c r="B19" s="59">
        <v>18318.8</v>
      </c>
      <c r="C19" s="59">
        <v>1083.5</v>
      </c>
      <c r="D19" s="59">
        <v>3525</v>
      </c>
      <c r="E19" s="59">
        <v>4541.9</v>
      </c>
      <c r="F19" s="59">
        <v>12629.6</v>
      </c>
      <c r="G19" s="59">
        <v>4429.7</v>
      </c>
      <c r="H19" s="59">
        <v>4165.7</v>
      </c>
      <c r="I19" s="59">
        <v>14981.3</v>
      </c>
      <c r="J19" s="59">
        <v>1697.2</v>
      </c>
      <c r="K19" s="59">
        <v>4133.8</v>
      </c>
      <c r="L19" s="41">
        <v>1452.3</v>
      </c>
      <c r="M19" s="63">
        <v>7698</v>
      </c>
      <c r="N19" s="59">
        <v>11937</v>
      </c>
      <c r="O19" s="60">
        <f t="shared" si="1"/>
        <v>74528.99999999999</v>
      </c>
      <c r="P19" s="60">
        <f t="shared" si="16"/>
        <v>0</v>
      </c>
      <c r="U19" s="60">
        <f t="shared" si="2"/>
        <v>74528.99999999999</v>
      </c>
      <c r="W19" s="60">
        <f t="shared" si="3"/>
        <v>18318.8</v>
      </c>
      <c r="X19" s="60">
        <f t="shared" si="4"/>
        <v>1083.5</v>
      </c>
      <c r="Y19" s="60">
        <f t="shared" si="5"/>
        <v>3525</v>
      </c>
      <c r="Z19" s="60">
        <f t="shared" si="6"/>
        <v>4541.9</v>
      </c>
      <c r="AA19" s="60">
        <f t="shared" si="7"/>
        <v>12629.6</v>
      </c>
      <c r="AB19" s="60">
        <f t="shared" si="8"/>
        <v>4429.7</v>
      </c>
      <c r="AC19" s="60">
        <f t="shared" si="9"/>
        <v>4165.7</v>
      </c>
      <c r="AD19" s="60">
        <f t="shared" si="10"/>
        <v>14981.3</v>
      </c>
      <c r="AE19" s="60">
        <f t="shared" si="11"/>
        <v>1697.2</v>
      </c>
      <c r="AF19" s="60">
        <f t="shared" si="12"/>
        <v>4133.8</v>
      </c>
      <c r="AG19" s="60">
        <f t="shared" si="13"/>
        <v>1452.3</v>
      </c>
      <c r="AH19" s="60">
        <f t="shared" si="14"/>
        <v>7698</v>
      </c>
      <c r="AI19" s="60">
        <f t="shared" si="15"/>
        <v>11937</v>
      </c>
    </row>
    <row r="20" spans="1:35" ht="12.75">
      <c r="A20" s="62">
        <v>1976</v>
      </c>
      <c r="B20" s="59">
        <v>18997.1</v>
      </c>
      <c r="C20" s="59">
        <v>1099.2</v>
      </c>
      <c r="D20" s="59">
        <v>3576</v>
      </c>
      <c r="E20" s="59">
        <v>4582.4</v>
      </c>
      <c r="F20" s="59">
        <v>13195.7</v>
      </c>
      <c r="G20" s="59">
        <v>4561.4</v>
      </c>
      <c r="H20" s="59">
        <v>4263.2</v>
      </c>
      <c r="I20" s="59">
        <v>15622.5</v>
      </c>
      <c r="J20" s="59">
        <v>1805.9</v>
      </c>
      <c r="K20" s="59">
        <v>4350.4</v>
      </c>
      <c r="L20" s="41">
        <v>1486.8</v>
      </c>
      <c r="M20" s="63">
        <v>7979.4</v>
      </c>
      <c r="N20" s="59">
        <v>12138</v>
      </c>
      <c r="O20" s="60">
        <f t="shared" si="1"/>
        <v>76936.29999999999</v>
      </c>
      <c r="P20" s="60">
        <f t="shared" si="16"/>
        <v>0</v>
      </c>
      <c r="U20" s="60">
        <f t="shared" si="2"/>
        <v>76936.29999999999</v>
      </c>
      <c r="W20" s="60">
        <f t="shared" si="3"/>
        <v>18997.1</v>
      </c>
      <c r="X20" s="60">
        <f t="shared" si="4"/>
        <v>1099.2</v>
      </c>
      <c r="Y20" s="60">
        <f t="shared" si="5"/>
        <v>3576</v>
      </c>
      <c r="Z20" s="60">
        <f t="shared" si="6"/>
        <v>4582.4</v>
      </c>
      <c r="AA20" s="60">
        <f t="shared" si="7"/>
        <v>13195.7</v>
      </c>
      <c r="AB20" s="60">
        <f t="shared" si="8"/>
        <v>4561.4</v>
      </c>
      <c r="AC20" s="60">
        <f t="shared" si="9"/>
        <v>4263.2</v>
      </c>
      <c r="AD20" s="60">
        <f t="shared" si="10"/>
        <v>15622.5</v>
      </c>
      <c r="AE20" s="60">
        <f t="shared" si="11"/>
        <v>1805.9</v>
      </c>
      <c r="AF20" s="60">
        <f t="shared" si="12"/>
        <v>4350.4</v>
      </c>
      <c r="AG20" s="60">
        <f t="shared" si="13"/>
        <v>1486.8</v>
      </c>
      <c r="AH20" s="60">
        <f t="shared" si="14"/>
        <v>7979.4</v>
      </c>
      <c r="AI20" s="60">
        <f t="shared" si="15"/>
        <v>12138</v>
      </c>
    </row>
    <row r="21" spans="1:35" ht="12.75">
      <c r="A21" s="62">
        <v>1977</v>
      </c>
      <c r="B21" s="59">
        <v>19682.9</v>
      </c>
      <c r="C21" s="59">
        <v>1141.3</v>
      </c>
      <c r="D21" s="59">
        <v>3851</v>
      </c>
      <c r="E21" s="59">
        <v>4713</v>
      </c>
      <c r="F21" s="59">
        <v>13795.4</v>
      </c>
      <c r="G21" s="59">
        <v>4722.9</v>
      </c>
      <c r="H21" s="59">
        <v>4460.6</v>
      </c>
      <c r="I21" s="59">
        <v>16388.6</v>
      </c>
      <c r="J21" s="59">
        <v>1957.6</v>
      </c>
      <c r="K21" s="59">
        <v>4584</v>
      </c>
      <c r="L21" s="41">
        <v>1495.4</v>
      </c>
      <c r="M21" s="63">
        <v>8351.6</v>
      </c>
      <c r="N21" s="59">
        <v>12399</v>
      </c>
      <c r="O21" s="60">
        <f t="shared" si="1"/>
        <v>80013.4</v>
      </c>
      <c r="P21" s="60">
        <f t="shared" si="16"/>
        <v>0</v>
      </c>
      <c r="U21" s="60">
        <f t="shared" si="2"/>
        <v>80013.4</v>
      </c>
      <c r="W21" s="60">
        <f t="shared" si="3"/>
        <v>19682.9</v>
      </c>
      <c r="X21" s="60">
        <f t="shared" si="4"/>
        <v>1141.3</v>
      </c>
      <c r="Y21" s="60">
        <f t="shared" si="5"/>
        <v>3851</v>
      </c>
      <c r="Z21" s="60">
        <f t="shared" si="6"/>
        <v>4713</v>
      </c>
      <c r="AA21" s="60">
        <f t="shared" si="7"/>
        <v>13795.4</v>
      </c>
      <c r="AB21" s="60">
        <f t="shared" si="8"/>
        <v>4722.9</v>
      </c>
      <c r="AC21" s="60">
        <f t="shared" si="9"/>
        <v>4460.6</v>
      </c>
      <c r="AD21" s="60">
        <f t="shared" si="10"/>
        <v>16388.6</v>
      </c>
      <c r="AE21" s="60">
        <f t="shared" si="11"/>
        <v>1957.6</v>
      </c>
      <c r="AF21" s="60">
        <f t="shared" si="12"/>
        <v>4584</v>
      </c>
      <c r="AG21" s="60">
        <f t="shared" si="13"/>
        <v>1495.4</v>
      </c>
      <c r="AH21" s="60">
        <f t="shared" si="14"/>
        <v>8351.6</v>
      </c>
      <c r="AI21" s="60">
        <f t="shared" si="15"/>
        <v>12399</v>
      </c>
    </row>
    <row r="22" spans="1:35" ht="12.75">
      <c r="A22" s="62">
        <v>1978</v>
      </c>
      <c r="B22" s="59">
        <v>20505.7</v>
      </c>
      <c r="C22" s="59">
        <v>1192.1</v>
      </c>
      <c r="D22" s="59">
        <v>4229</v>
      </c>
      <c r="E22" s="59">
        <v>4922.8</v>
      </c>
      <c r="F22" s="59">
        <v>14559.7</v>
      </c>
      <c r="G22" s="59">
        <v>4985.2</v>
      </c>
      <c r="H22" s="59">
        <v>4717.3</v>
      </c>
      <c r="I22" s="59">
        <v>17313.1</v>
      </c>
      <c r="J22" s="59">
        <v>2180.5</v>
      </c>
      <c r="K22" s="59">
        <v>4791.7</v>
      </c>
      <c r="L22" s="41">
        <v>1501.7</v>
      </c>
      <c r="M22" s="63">
        <v>8839.2</v>
      </c>
      <c r="N22" s="59">
        <v>12919</v>
      </c>
      <c r="O22" s="60">
        <f t="shared" si="1"/>
        <v>84151.79999999999</v>
      </c>
      <c r="P22" s="60">
        <f t="shared" si="16"/>
        <v>0</v>
      </c>
      <c r="U22" s="60">
        <f t="shared" si="2"/>
        <v>84151.79999999999</v>
      </c>
      <c r="W22" s="60">
        <f t="shared" si="3"/>
        <v>20505.7</v>
      </c>
      <c r="X22" s="60">
        <f t="shared" si="4"/>
        <v>1192.1</v>
      </c>
      <c r="Y22" s="60">
        <f t="shared" si="5"/>
        <v>4229</v>
      </c>
      <c r="Z22" s="60">
        <f t="shared" si="6"/>
        <v>4922.8</v>
      </c>
      <c r="AA22" s="60">
        <f t="shared" si="7"/>
        <v>14559.7</v>
      </c>
      <c r="AB22" s="60">
        <f t="shared" si="8"/>
        <v>4985.2</v>
      </c>
      <c r="AC22" s="60">
        <f t="shared" si="9"/>
        <v>4717.3</v>
      </c>
      <c r="AD22" s="60">
        <f t="shared" si="10"/>
        <v>17313.1</v>
      </c>
      <c r="AE22" s="60">
        <f t="shared" si="11"/>
        <v>2180.5</v>
      </c>
      <c r="AF22" s="60">
        <f t="shared" si="12"/>
        <v>4791.7</v>
      </c>
      <c r="AG22" s="60">
        <f t="shared" si="13"/>
        <v>1501.7</v>
      </c>
      <c r="AH22" s="60">
        <f t="shared" si="14"/>
        <v>8839.2</v>
      </c>
      <c r="AI22" s="60">
        <f t="shared" si="15"/>
        <v>12919</v>
      </c>
    </row>
    <row r="23" spans="1:35" ht="12.75">
      <c r="A23" s="62">
        <v>1979</v>
      </c>
      <c r="B23" s="59">
        <v>21041</v>
      </c>
      <c r="C23" s="59">
        <v>1235</v>
      </c>
      <c r="D23" s="59">
        <v>4463</v>
      </c>
      <c r="E23" s="59">
        <v>5135.8</v>
      </c>
      <c r="F23" s="59">
        <v>14973.5</v>
      </c>
      <c r="G23" s="59">
        <v>5220.6</v>
      </c>
      <c r="H23" s="59">
        <v>4968.5</v>
      </c>
      <c r="I23" s="59">
        <v>18042.9</v>
      </c>
      <c r="J23" s="59">
        <v>2410.1</v>
      </c>
      <c r="K23" s="59">
        <v>4992.8</v>
      </c>
      <c r="L23" s="41">
        <v>1516.3</v>
      </c>
      <c r="M23" s="63">
        <v>9123.7</v>
      </c>
      <c r="N23" s="59">
        <v>13174</v>
      </c>
      <c r="O23" s="60">
        <f t="shared" si="1"/>
        <v>87019.3</v>
      </c>
      <c r="P23" s="60">
        <f t="shared" si="16"/>
        <v>0</v>
      </c>
      <c r="U23" s="60">
        <f t="shared" si="2"/>
        <v>87019.3</v>
      </c>
      <c r="W23" s="60">
        <f t="shared" si="3"/>
        <v>21041</v>
      </c>
      <c r="X23" s="60">
        <f t="shared" si="4"/>
        <v>1235</v>
      </c>
      <c r="Y23" s="60">
        <f t="shared" si="5"/>
        <v>4463</v>
      </c>
      <c r="Z23" s="60">
        <f t="shared" si="6"/>
        <v>5135.8</v>
      </c>
      <c r="AA23" s="60">
        <f t="shared" si="7"/>
        <v>14973.5</v>
      </c>
      <c r="AB23" s="60">
        <f t="shared" si="8"/>
        <v>5220.6</v>
      </c>
      <c r="AC23" s="60">
        <f t="shared" si="9"/>
        <v>4968.5</v>
      </c>
      <c r="AD23" s="60">
        <f t="shared" si="10"/>
        <v>18042.9</v>
      </c>
      <c r="AE23" s="60">
        <f t="shared" si="11"/>
        <v>2410.1</v>
      </c>
      <c r="AF23" s="60">
        <f t="shared" si="12"/>
        <v>4992.8</v>
      </c>
      <c r="AG23" s="60">
        <f t="shared" si="13"/>
        <v>1516.3</v>
      </c>
      <c r="AH23" s="60">
        <f t="shared" si="14"/>
        <v>9123.7</v>
      </c>
      <c r="AI23" s="60">
        <f t="shared" si="15"/>
        <v>13174</v>
      </c>
    </row>
    <row r="24" spans="1:35" ht="12.75">
      <c r="A24" s="62">
        <v>1980</v>
      </c>
      <c r="B24" s="59">
        <v>20286.6</v>
      </c>
      <c r="C24" s="59">
        <v>1252.2</v>
      </c>
      <c r="D24" s="59">
        <v>4346</v>
      </c>
      <c r="E24" s="59">
        <v>5146.4</v>
      </c>
      <c r="F24" s="59">
        <v>15021.6</v>
      </c>
      <c r="G24" s="59">
        <v>5292.5</v>
      </c>
      <c r="H24" s="59">
        <v>5151.6</v>
      </c>
      <c r="I24" s="59">
        <v>18718.8</v>
      </c>
      <c r="J24" s="59">
        <v>2563.5</v>
      </c>
      <c r="K24" s="59">
        <v>5278</v>
      </c>
      <c r="L24" s="41">
        <v>1539.4</v>
      </c>
      <c r="M24" s="63">
        <v>9337.9</v>
      </c>
      <c r="N24" s="59">
        <v>13375</v>
      </c>
      <c r="O24" s="60">
        <f t="shared" si="1"/>
        <v>87338.5</v>
      </c>
      <c r="P24" s="60">
        <f t="shared" si="16"/>
        <v>0</v>
      </c>
      <c r="U24" s="60">
        <f t="shared" si="2"/>
        <v>87338.5</v>
      </c>
      <c r="W24" s="60">
        <f t="shared" si="3"/>
        <v>20286.6</v>
      </c>
      <c r="X24" s="60">
        <f t="shared" si="4"/>
        <v>1252.2</v>
      </c>
      <c r="Y24" s="60">
        <f t="shared" si="5"/>
        <v>4346</v>
      </c>
      <c r="Z24" s="60">
        <f t="shared" si="6"/>
        <v>5146.4</v>
      </c>
      <c r="AA24" s="60">
        <f t="shared" si="7"/>
        <v>15021.6</v>
      </c>
      <c r="AB24" s="60">
        <f t="shared" si="8"/>
        <v>5292.5</v>
      </c>
      <c r="AC24" s="60">
        <f t="shared" si="9"/>
        <v>5151.6</v>
      </c>
      <c r="AD24" s="60">
        <f t="shared" si="10"/>
        <v>18718.8</v>
      </c>
      <c r="AE24" s="60">
        <f t="shared" si="11"/>
        <v>2563.5</v>
      </c>
      <c r="AF24" s="60">
        <f t="shared" si="12"/>
        <v>5278</v>
      </c>
      <c r="AG24" s="60">
        <f t="shared" si="13"/>
        <v>1539.4</v>
      </c>
      <c r="AH24" s="60">
        <f t="shared" si="14"/>
        <v>9337.9</v>
      </c>
      <c r="AI24" s="60">
        <f t="shared" si="15"/>
        <v>13375</v>
      </c>
    </row>
    <row r="25" spans="1:35" ht="12.75">
      <c r="A25" s="62">
        <v>1981</v>
      </c>
      <c r="B25" s="59">
        <v>20171</v>
      </c>
      <c r="C25" s="59">
        <v>1266.2</v>
      </c>
      <c r="D25" s="59">
        <v>4188</v>
      </c>
      <c r="E25" s="59">
        <v>5164.6</v>
      </c>
      <c r="F25" s="59">
        <v>15170.1</v>
      </c>
      <c r="G25" s="59">
        <v>5375.3</v>
      </c>
      <c r="H25" s="59">
        <v>5294.4</v>
      </c>
      <c r="I25" s="59">
        <v>19386.7</v>
      </c>
      <c r="J25" s="59">
        <v>2699.6</v>
      </c>
      <c r="K25" s="59">
        <v>5562.1</v>
      </c>
      <c r="L25" s="41">
        <v>1527.3</v>
      </c>
      <c r="M25" s="63">
        <v>9597.7</v>
      </c>
      <c r="N25" s="59">
        <v>13259</v>
      </c>
      <c r="O25" s="60">
        <f t="shared" si="1"/>
        <v>88009.1</v>
      </c>
      <c r="P25" s="60">
        <f t="shared" si="16"/>
        <v>0</v>
      </c>
      <c r="U25" s="60">
        <f t="shared" si="2"/>
        <v>88009.1</v>
      </c>
      <c r="W25" s="60">
        <f t="shared" si="3"/>
        <v>20171</v>
      </c>
      <c r="X25" s="60">
        <f t="shared" si="4"/>
        <v>1266.2</v>
      </c>
      <c r="Y25" s="60">
        <f t="shared" si="5"/>
        <v>4188</v>
      </c>
      <c r="Z25" s="60">
        <f t="shared" si="6"/>
        <v>5164.6</v>
      </c>
      <c r="AA25" s="60">
        <f t="shared" si="7"/>
        <v>15170.1</v>
      </c>
      <c r="AB25" s="60">
        <f t="shared" si="8"/>
        <v>5375.3</v>
      </c>
      <c r="AC25" s="60">
        <f t="shared" si="9"/>
        <v>5294.4</v>
      </c>
      <c r="AD25" s="60">
        <f t="shared" si="10"/>
        <v>19386.7</v>
      </c>
      <c r="AE25" s="60">
        <f t="shared" si="11"/>
        <v>2699.6</v>
      </c>
      <c r="AF25" s="60">
        <f t="shared" si="12"/>
        <v>5562.1</v>
      </c>
      <c r="AG25" s="60">
        <f t="shared" si="13"/>
        <v>1527.3</v>
      </c>
      <c r="AH25" s="60">
        <f t="shared" si="14"/>
        <v>9597.7</v>
      </c>
      <c r="AI25" s="60">
        <f t="shared" si="15"/>
        <v>13259</v>
      </c>
    </row>
    <row r="26" spans="1:35" ht="12.75">
      <c r="A26" s="62">
        <v>1982</v>
      </c>
      <c r="B26" s="59">
        <v>18776.6</v>
      </c>
      <c r="C26" s="59">
        <v>1271.9</v>
      </c>
      <c r="D26" s="59">
        <v>3904</v>
      </c>
      <c r="E26" s="59">
        <v>5081.5</v>
      </c>
      <c r="F26" s="59">
        <v>15158.1</v>
      </c>
      <c r="G26" s="59">
        <v>5294.5</v>
      </c>
      <c r="H26" s="59">
        <v>5340.2</v>
      </c>
      <c r="I26" s="59">
        <v>19776.8</v>
      </c>
      <c r="J26" s="59">
        <v>2722.2</v>
      </c>
      <c r="K26" s="59">
        <v>5810.8</v>
      </c>
      <c r="L26" s="41">
        <v>1525.4</v>
      </c>
      <c r="M26" s="63">
        <v>9718.4</v>
      </c>
      <c r="N26" s="59">
        <v>13098</v>
      </c>
      <c r="O26" s="60">
        <f t="shared" si="1"/>
        <v>86429.7</v>
      </c>
      <c r="P26" s="60">
        <f t="shared" si="16"/>
        <v>0</v>
      </c>
      <c r="U26" s="60">
        <f t="shared" si="2"/>
        <v>86429.7</v>
      </c>
      <c r="W26" s="60">
        <f t="shared" si="3"/>
        <v>18776.6</v>
      </c>
      <c r="X26" s="60">
        <f t="shared" si="4"/>
        <v>1271.9</v>
      </c>
      <c r="Y26" s="60">
        <f t="shared" si="5"/>
        <v>3904</v>
      </c>
      <c r="Z26" s="60">
        <f t="shared" si="6"/>
        <v>5081.5</v>
      </c>
      <c r="AA26" s="60">
        <f t="shared" si="7"/>
        <v>15158.1</v>
      </c>
      <c r="AB26" s="60">
        <f t="shared" si="8"/>
        <v>5294.5</v>
      </c>
      <c r="AC26" s="60">
        <f t="shared" si="9"/>
        <v>5340.2</v>
      </c>
      <c r="AD26" s="60">
        <f t="shared" si="10"/>
        <v>19776.8</v>
      </c>
      <c r="AE26" s="60">
        <f t="shared" si="11"/>
        <v>2722.2</v>
      </c>
      <c r="AF26" s="60">
        <f t="shared" si="12"/>
        <v>5810.8</v>
      </c>
      <c r="AG26" s="60">
        <f t="shared" si="13"/>
        <v>1525.4</v>
      </c>
      <c r="AH26" s="60">
        <f t="shared" si="14"/>
        <v>9718.4</v>
      </c>
      <c r="AI26" s="60">
        <f t="shared" si="15"/>
        <v>13098</v>
      </c>
    </row>
    <row r="27" spans="1:35" ht="12.75">
      <c r="A27" s="62">
        <v>1983</v>
      </c>
      <c r="B27" s="59">
        <v>18429.6</v>
      </c>
      <c r="C27" s="59">
        <v>1298.3</v>
      </c>
      <c r="D27" s="59">
        <v>3946</v>
      </c>
      <c r="E27" s="59">
        <v>4952.3</v>
      </c>
      <c r="F27" s="59">
        <v>15587.2</v>
      </c>
      <c r="G27" s="59">
        <v>5283.3</v>
      </c>
      <c r="H27" s="59">
        <v>5465.5</v>
      </c>
      <c r="I27" s="59">
        <v>20489.2</v>
      </c>
      <c r="J27" s="59">
        <v>2948</v>
      </c>
      <c r="K27" s="59">
        <v>5986.2</v>
      </c>
      <c r="L27" s="41">
        <v>1509.8</v>
      </c>
      <c r="M27" s="63">
        <v>10045.2</v>
      </c>
      <c r="N27" s="59">
        <v>13096</v>
      </c>
      <c r="O27" s="60">
        <f t="shared" si="1"/>
        <v>87249.1</v>
      </c>
      <c r="P27" s="60">
        <f t="shared" si="16"/>
        <v>0</v>
      </c>
      <c r="U27" s="60">
        <f t="shared" si="2"/>
        <v>87249.1</v>
      </c>
      <c r="W27" s="60">
        <f t="shared" si="3"/>
        <v>18429.6</v>
      </c>
      <c r="X27" s="60">
        <f t="shared" si="4"/>
        <v>1298.3</v>
      </c>
      <c r="Y27" s="60">
        <f t="shared" si="5"/>
        <v>3946</v>
      </c>
      <c r="Z27" s="60">
        <f t="shared" si="6"/>
        <v>4952.3</v>
      </c>
      <c r="AA27" s="60">
        <f t="shared" si="7"/>
        <v>15587.2</v>
      </c>
      <c r="AB27" s="60">
        <f t="shared" si="8"/>
        <v>5283.3</v>
      </c>
      <c r="AC27" s="60">
        <f t="shared" si="9"/>
        <v>5465.5</v>
      </c>
      <c r="AD27" s="60">
        <f t="shared" si="10"/>
        <v>20489.2</v>
      </c>
      <c r="AE27" s="60">
        <f t="shared" si="11"/>
        <v>2948</v>
      </c>
      <c r="AF27" s="60">
        <f t="shared" si="12"/>
        <v>5986.2</v>
      </c>
      <c r="AG27" s="60">
        <f t="shared" si="13"/>
        <v>1509.8</v>
      </c>
      <c r="AH27" s="60">
        <f t="shared" si="14"/>
        <v>10045.2</v>
      </c>
      <c r="AI27" s="60">
        <f t="shared" si="15"/>
        <v>13096</v>
      </c>
    </row>
    <row r="28" spans="1:35" ht="12.75">
      <c r="A28" s="62">
        <v>1984</v>
      </c>
      <c r="B28" s="59">
        <v>19369.7</v>
      </c>
      <c r="C28" s="59">
        <v>1375.3</v>
      </c>
      <c r="D28" s="59">
        <v>4380</v>
      </c>
      <c r="E28" s="59">
        <v>5155.8</v>
      </c>
      <c r="F28" s="59">
        <v>16512</v>
      </c>
      <c r="G28" s="59">
        <v>5567.8</v>
      </c>
      <c r="H28" s="59">
        <v>5683.4</v>
      </c>
      <c r="I28" s="59">
        <v>21517.1</v>
      </c>
      <c r="J28" s="59">
        <v>3352.7</v>
      </c>
      <c r="K28" s="59">
        <v>6118.3</v>
      </c>
      <c r="L28" s="41">
        <v>1504</v>
      </c>
      <c r="M28" s="63">
        <v>10542.1</v>
      </c>
      <c r="N28" s="59">
        <v>13216</v>
      </c>
      <c r="O28" s="60">
        <f t="shared" si="1"/>
        <v>91401.8</v>
      </c>
      <c r="P28" s="60">
        <f t="shared" si="16"/>
        <v>0</v>
      </c>
      <c r="U28" s="60">
        <f t="shared" si="2"/>
        <v>91401.8</v>
      </c>
      <c r="W28" s="60">
        <f t="shared" si="3"/>
        <v>19369.7</v>
      </c>
      <c r="X28" s="60">
        <f t="shared" si="4"/>
        <v>1375.3</v>
      </c>
      <c r="Y28" s="60">
        <f t="shared" si="5"/>
        <v>4380</v>
      </c>
      <c r="Z28" s="60">
        <f t="shared" si="6"/>
        <v>5155.8</v>
      </c>
      <c r="AA28" s="60">
        <f t="shared" si="7"/>
        <v>16512</v>
      </c>
      <c r="AB28" s="60">
        <f t="shared" si="8"/>
        <v>5567.8</v>
      </c>
      <c r="AC28" s="60">
        <f t="shared" si="9"/>
        <v>5683.4</v>
      </c>
      <c r="AD28" s="60">
        <f t="shared" si="10"/>
        <v>21517.1</v>
      </c>
      <c r="AE28" s="60">
        <f t="shared" si="11"/>
        <v>3352.7</v>
      </c>
      <c r="AF28" s="60">
        <f t="shared" si="12"/>
        <v>6118.3</v>
      </c>
      <c r="AG28" s="60">
        <f t="shared" si="13"/>
        <v>1504</v>
      </c>
      <c r="AH28" s="60">
        <f t="shared" si="14"/>
        <v>10542.1</v>
      </c>
      <c r="AI28" s="60">
        <f t="shared" si="15"/>
        <v>13216</v>
      </c>
    </row>
    <row r="29" spans="1:35" ht="12.75">
      <c r="A29" s="62">
        <v>1985</v>
      </c>
      <c r="B29" s="59">
        <v>19250</v>
      </c>
      <c r="C29" s="59">
        <v>1426</v>
      </c>
      <c r="D29" s="59">
        <v>4668</v>
      </c>
      <c r="E29" s="59">
        <v>5232</v>
      </c>
      <c r="F29" s="59">
        <v>17313</v>
      </c>
      <c r="G29" s="59">
        <v>5734.9</v>
      </c>
      <c r="H29" s="59">
        <v>5949.7</v>
      </c>
      <c r="I29" s="59">
        <v>22606.5</v>
      </c>
      <c r="J29" s="59">
        <v>3649.4</v>
      </c>
      <c r="K29" s="59">
        <v>6292.8</v>
      </c>
      <c r="L29" s="41">
        <v>1517.1</v>
      </c>
      <c r="M29" s="63">
        <v>11147.2</v>
      </c>
      <c r="N29" s="59">
        <v>13519</v>
      </c>
      <c r="O29" s="60">
        <f t="shared" si="1"/>
        <v>94273.1</v>
      </c>
      <c r="P29" s="60">
        <f t="shared" si="16"/>
        <v>0</v>
      </c>
      <c r="U29" s="60">
        <f t="shared" si="2"/>
        <v>94273.1</v>
      </c>
      <c r="W29" s="60">
        <f t="shared" si="3"/>
        <v>19250</v>
      </c>
      <c r="X29" s="60">
        <f t="shared" si="4"/>
        <v>1426</v>
      </c>
      <c r="Y29" s="60">
        <f t="shared" si="5"/>
        <v>4668</v>
      </c>
      <c r="Z29" s="60">
        <f t="shared" si="6"/>
        <v>5232</v>
      </c>
      <c r="AA29" s="60">
        <f t="shared" si="7"/>
        <v>17313</v>
      </c>
      <c r="AB29" s="60">
        <f t="shared" si="8"/>
        <v>5734.9</v>
      </c>
      <c r="AC29" s="60">
        <f t="shared" si="9"/>
        <v>5949.7</v>
      </c>
      <c r="AD29" s="60">
        <f t="shared" si="10"/>
        <v>22606.5</v>
      </c>
      <c r="AE29" s="60">
        <f t="shared" si="11"/>
        <v>3649.4</v>
      </c>
      <c r="AF29" s="60">
        <f t="shared" si="12"/>
        <v>6292.8</v>
      </c>
      <c r="AG29" s="60">
        <f t="shared" si="13"/>
        <v>1517.1</v>
      </c>
      <c r="AH29" s="60">
        <f t="shared" si="14"/>
        <v>11147.2</v>
      </c>
      <c r="AI29" s="60">
        <f t="shared" si="15"/>
        <v>13519</v>
      </c>
    </row>
    <row r="30" spans="1:35" ht="15">
      <c r="A30" s="62">
        <v>1986</v>
      </c>
      <c r="B30" s="59">
        <v>18950.5</v>
      </c>
      <c r="C30" s="59">
        <v>1456.1</v>
      </c>
      <c r="D30" s="59">
        <v>4810</v>
      </c>
      <c r="E30" s="59">
        <v>5246.6</v>
      </c>
      <c r="F30" s="59">
        <v>17877.9</v>
      </c>
      <c r="G30" s="59">
        <v>5750.8</v>
      </c>
      <c r="H30" s="59">
        <v>6274.6</v>
      </c>
      <c r="I30" s="59">
        <v>23580.7</v>
      </c>
      <c r="J30" s="59">
        <v>3930.5</v>
      </c>
      <c r="K30" s="59">
        <v>6527.7</v>
      </c>
      <c r="L30" s="64">
        <v>1536.3</v>
      </c>
      <c r="M30" s="63">
        <v>11586.2</v>
      </c>
      <c r="N30" s="59">
        <v>13794</v>
      </c>
      <c r="O30" s="60">
        <f t="shared" si="1"/>
        <v>96285.1</v>
      </c>
      <c r="P30" s="60">
        <f t="shared" si="16"/>
        <v>0</v>
      </c>
      <c r="U30" s="60">
        <f t="shared" si="2"/>
        <v>96285.1</v>
      </c>
      <c r="W30" s="60">
        <f t="shared" si="3"/>
        <v>18950.5</v>
      </c>
      <c r="X30" s="60">
        <f t="shared" si="4"/>
        <v>1456.1</v>
      </c>
      <c r="Y30" s="60">
        <f t="shared" si="5"/>
        <v>4810</v>
      </c>
      <c r="Z30" s="60">
        <f t="shared" si="6"/>
        <v>5246.6</v>
      </c>
      <c r="AA30" s="60">
        <f t="shared" si="7"/>
        <v>17877.9</v>
      </c>
      <c r="AB30" s="60">
        <f t="shared" si="8"/>
        <v>5750.8</v>
      </c>
      <c r="AC30" s="60">
        <f t="shared" si="9"/>
        <v>6274.6</v>
      </c>
      <c r="AD30" s="60">
        <f t="shared" si="10"/>
        <v>23580.7</v>
      </c>
      <c r="AE30" s="60">
        <f t="shared" si="11"/>
        <v>3930.5</v>
      </c>
      <c r="AF30" s="60">
        <f t="shared" si="12"/>
        <v>6527.7</v>
      </c>
      <c r="AG30" s="60">
        <f t="shared" si="13"/>
        <v>1536.3</v>
      </c>
      <c r="AH30" s="60">
        <f t="shared" si="14"/>
        <v>11586.2</v>
      </c>
      <c r="AI30" s="60">
        <f t="shared" si="15"/>
        <v>13794</v>
      </c>
    </row>
    <row r="31" spans="1:35" ht="15">
      <c r="A31" s="62">
        <v>1987</v>
      </c>
      <c r="B31" s="59">
        <v>19001.8</v>
      </c>
      <c r="C31" s="59">
        <v>1502.9</v>
      </c>
      <c r="D31" s="59">
        <v>4958</v>
      </c>
      <c r="E31" s="59">
        <v>5362.3</v>
      </c>
      <c r="F31" s="59">
        <v>18419.4</v>
      </c>
      <c r="G31" s="59">
        <v>5836.6</v>
      </c>
      <c r="H31" s="59">
        <v>6535.2</v>
      </c>
      <c r="I31" s="59">
        <v>24661.3</v>
      </c>
      <c r="J31" s="59">
        <v>4272</v>
      </c>
      <c r="K31" s="59">
        <v>6794.2</v>
      </c>
      <c r="L31" s="64">
        <v>1613.5</v>
      </c>
      <c r="M31" s="63">
        <v>11981.6</v>
      </c>
      <c r="N31" s="59">
        <v>14067</v>
      </c>
      <c r="O31" s="60">
        <f t="shared" si="1"/>
        <v>98841.59999999999</v>
      </c>
      <c r="P31" s="60">
        <f t="shared" si="16"/>
        <v>0</v>
      </c>
      <c r="U31" s="60">
        <f t="shared" si="2"/>
        <v>98841.59999999999</v>
      </c>
      <c r="W31" s="60">
        <f t="shared" si="3"/>
        <v>19001.8</v>
      </c>
      <c r="X31" s="60">
        <f t="shared" si="4"/>
        <v>1502.9</v>
      </c>
      <c r="Y31" s="60">
        <f t="shared" si="5"/>
        <v>4958</v>
      </c>
      <c r="Z31" s="60">
        <f t="shared" si="6"/>
        <v>5362.3</v>
      </c>
      <c r="AA31" s="60">
        <f t="shared" si="7"/>
        <v>18419.4</v>
      </c>
      <c r="AB31" s="60">
        <f t="shared" si="8"/>
        <v>5836.6</v>
      </c>
      <c r="AC31" s="60">
        <f t="shared" si="9"/>
        <v>6535.2</v>
      </c>
      <c r="AD31" s="60">
        <f t="shared" si="10"/>
        <v>24661.3</v>
      </c>
      <c r="AE31" s="60">
        <f t="shared" si="11"/>
        <v>4272</v>
      </c>
      <c r="AF31" s="60">
        <f t="shared" si="12"/>
        <v>6794.2</v>
      </c>
      <c r="AG31" s="60">
        <f t="shared" si="13"/>
        <v>1613.5</v>
      </c>
      <c r="AH31" s="60">
        <f t="shared" si="14"/>
        <v>11981.6</v>
      </c>
      <c r="AI31" s="60">
        <f t="shared" si="15"/>
        <v>14067</v>
      </c>
    </row>
    <row r="32" spans="1:35" ht="15">
      <c r="A32" s="62">
        <v>1988</v>
      </c>
      <c r="B32" s="59">
        <v>19314.4</v>
      </c>
      <c r="C32" s="59">
        <v>1543</v>
      </c>
      <c r="D32" s="59">
        <v>5098</v>
      </c>
      <c r="E32" s="59">
        <v>5511.7</v>
      </c>
      <c r="F32" s="59">
        <v>19022.8</v>
      </c>
      <c r="G32" s="59">
        <v>6029.9</v>
      </c>
      <c r="H32" s="59">
        <v>6629.2</v>
      </c>
      <c r="I32" s="59">
        <v>26018.7</v>
      </c>
      <c r="J32" s="59">
        <v>4638.4</v>
      </c>
      <c r="K32" s="59">
        <v>7105.5</v>
      </c>
      <c r="L32" s="64">
        <v>1740.4</v>
      </c>
      <c r="M32" s="63">
        <v>12534.4</v>
      </c>
      <c r="N32" s="59">
        <v>14415</v>
      </c>
      <c r="O32" s="60">
        <f t="shared" si="1"/>
        <v>102039.7</v>
      </c>
      <c r="P32" s="60">
        <f t="shared" si="16"/>
        <v>0</v>
      </c>
      <c r="U32" s="60">
        <f t="shared" si="2"/>
        <v>102039.7</v>
      </c>
      <c r="W32" s="60">
        <f t="shared" si="3"/>
        <v>19314.4</v>
      </c>
      <c r="X32" s="60">
        <f t="shared" si="4"/>
        <v>1543</v>
      </c>
      <c r="Y32" s="60">
        <f t="shared" si="5"/>
        <v>5098</v>
      </c>
      <c r="Z32" s="60">
        <f t="shared" si="6"/>
        <v>5511.7</v>
      </c>
      <c r="AA32" s="60">
        <f t="shared" si="7"/>
        <v>19022.8</v>
      </c>
      <c r="AB32" s="60">
        <f t="shared" si="8"/>
        <v>6029.9</v>
      </c>
      <c r="AC32" s="60">
        <f t="shared" si="9"/>
        <v>6629.2</v>
      </c>
      <c r="AD32" s="60">
        <f t="shared" si="10"/>
        <v>26018.7</v>
      </c>
      <c r="AE32" s="60">
        <f t="shared" si="11"/>
        <v>4638.4</v>
      </c>
      <c r="AF32" s="60">
        <f t="shared" si="12"/>
        <v>7105.5</v>
      </c>
      <c r="AG32" s="60">
        <f t="shared" si="13"/>
        <v>1740.4</v>
      </c>
      <c r="AH32" s="60">
        <f t="shared" si="14"/>
        <v>12534.4</v>
      </c>
      <c r="AI32" s="60">
        <f t="shared" si="15"/>
        <v>14415</v>
      </c>
    </row>
    <row r="33" spans="1:35" ht="15">
      <c r="A33" s="62">
        <v>1989</v>
      </c>
      <c r="B33" s="59">
        <v>19391.5</v>
      </c>
      <c r="C33" s="59">
        <v>1556</v>
      </c>
      <c r="D33" s="59">
        <v>5171</v>
      </c>
      <c r="E33" s="59">
        <v>5613.8</v>
      </c>
      <c r="F33" s="59">
        <v>19475.3</v>
      </c>
      <c r="G33" s="59">
        <v>6187.2</v>
      </c>
      <c r="H33" s="59">
        <v>6668.6</v>
      </c>
      <c r="I33" s="59">
        <v>27346.8</v>
      </c>
      <c r="J33" s="59">
        <v>4940.6</v>
      </c>
      <c r="K33" s="59">
        <v>7463</v>
      </c>
      <c r="L33" s="64">
        <v>1835.7</v>
      </c>
      <c r="M33" s="63">
        <v>13107.5</v>
      </c>
      <c r="N33" s="59">
        <v>14791</v>
      </c>
      <c r="O33" s="60">
        <f t="shared" si="1"/>
        <v>104645.2</v>
      </c>
      <c r="P33" s="60">
        <f t="shared" si="16"/>
        <v>0</v>
      </c>
      <c r="U33" s="60">
        <f t="shared" si="2"/>
        <v>104645.2</v>
      </c>
      <c r="W33" s="60">
        <f t="shared" si="3"/>
        <v>19391.5</v>
      </c>
      <c r="X33" s="60">
        <f t="shared" si="4"/>
        <v>1556</v>
      </c>
      <c r="Y33" s="60">
        <f t="shared" si="5"/>
        <v>5171</v>
      </c>
      <c r="Z33" s="60">
        <f t="shared" si="6"/>
        <v>5613.8</v>
      </c>
      <c r="AA33" s="60">
        <f t="shared" si="7"/>
        <v>19475.3</v>
      </c>
      <c r="AB33" s="60">
        <f t="shared" si="8"/>
        <v>6187.2</v>
      </c>
      <c r="AC33" s="60">
        <f t="shared" si="9"/>
        <v>6668.6</v>
      </c>
      <c r="AD33" s="60">
        <f t="shared" si="10"/>
        <v>27346.8</v>
      </c>
      <c r="AE33" s="60">
        <f t="shared" si="11"/>
        <v>4940.6</v>
      </c>
      <c r="AF33" s="60">
        <f t="shared" si="12"/>
        <v>7463</v>
      </c>
      <c r="AG33" s="60">
        <f t="shared" si="13"/>
        <v>1835.7</v>
      </c>
      <c r="AH33" s="60">
        <f t="shared" si="14"/>
        <v>13107.5</v>
      </c>
      <c r="AI33" s="60">
        <f t="shared" si="15"/>
        <v>14791</v>
      </c>
    </row>
    <row r="34" spans="1:35" ht="15">
      <c r="A34" s="62">
        <v>1990</v>
      </c>
      <c r="B34" s="59">
        <v>19076.7</v>
      </c>
      <c r="C34" s="59">
        <v>1569.5</v>
      </c>
      <c r="D34" s="59">
        <v>5120</v>
      </c>
      <c r="E34" s="59">
        <v>5776.3</v>
      </c>
      <c r="F34" s="59">
        <v>19601.1</v>
      </c>
      <c r="G34" s="59">
        <v>6172.9</v>
      </c>
      <c r="H34" s="59">
        <v>6708.7</v>
      </c>
      <c r="I34" s="59">
        <v>28305.1</v>
      </c>
      <c r="J34" s="59">
        <v>5139.4</v>
      </c>
      <c r="K34" s="59">
        <v>7814.3</v>
      </c>
      <c r="L34" s="64">
        <v>1945.4</v>
      </c>
      <c r="M34" s="60">
        <v>13406</v>
      </c>
      <c r="N34" s="59">
        <v>15219</v>
      </c>
      <c r="O34" s="60">
        <f t="shared" si="1"/>
        <v>105979.79999999999</v>
      </c>
      <c r="P34" s="60">
        <f t="shared" si="16"/>
        <v>0</v>
      </c>
      <c r="U34" s="60">
        <f t="shared" si="2"/>
        <v>105979.79999999999</v>
      </c>
      <c r="W34" s="60">
        <f t="shared" si="3"/>
        <v>19076.7</v>
      </c>
      <c r="X34" s="60">
        <f t="shared" si="4"/>
        <v>1569.5</v>
      </c>
      <c r="Y34" s="60">
        <f t="shared" si="5"/>
        <v>5120</v>
      </c>
      <c r="Z34" s="60">
        <f t="shared" si="6"/>
        <v>5776.3</v>
      </c>
      <c r="AA34" s="60">
        <f t="shared" si="7"/>
        <v>19601.1</v>
      </c>
      <c r="AB34" s="60">
        <f t="shared" si="8"/>
        <v>6172.9</v>
      </c>
      <c r="AC34" s="60">
        <f t="shared" si="9"/>
        <v>6708.7</v>
      </c>
      <c r="AD34" s="60">
        <f t="shared" si="10"/>
        <v>28305.1</v>
      </c>
      <c r="AE34" s="60">
        <f t="shared" si="11"/>
        <v>5139.4</v>
      </c>
      <c r="AF34" s="60">
        <f t="shared" si="12"/>
        <v>7814.3</v>
      </c>
      <c r="AG34" s="60">
        <f t="shared" si="13"/>
        <v>1945.4</v>
      </c>
      <c r="AH34" s="60">
        <f t="shared" si="14"/>
        <v>13406</v>
      </c>
      <c r="AI34" s="60">
        <f t="shared" si="15"/>
        <v>15219</v>
      </c>
    </row>
    <row r="35" spans="1:35" ht="15">
      <c r="A35" s="62">
        <v>1991</v>
      </c>
      <c r="B35" s="59">
        <v>18406.7</v>
      </c>
      <c r="C35" s="59">
        <v>1535.5</v>
      </c>
      <c r="D35" s="59">
        <v>4650</v>
      </c>
      <c r="E35" s="59">
        <v>5754.7</v>
      </c>
      <c r="F35" s="59">
        <v>19283.5</v>
      </c>
      <c r="G35" s="59">
        <v>6081</v>
      </c>
      <c r="H35" s="59">
        <v>6646.1</v>
      </c>
      <c r="I35" s="59">
        <v>28710.9</v>
      </c>
      <c r="J35" s="59">
        <v>5086.1</v>
      </c>
      <c r="K35" s="59">
        <v>8182.9</v>
      </c>
      <c r="L35" s="64">
        <v>1981.9</v>
      </c>
      <c r="M35" s="60">
        <v>13460</v>
      </c>
      <c r="N35" s="59">
        <v>15436</v>
      </c>
      <c r="O35" s="60">
        <f t="shared" si="1"/>
        <v>104968.9</v>
      </c>
      <c r="P35" s="60">
        <f t="shared" si="16"/>
        <v>0</v>
      </c>
      <c r="U35" s="60">
        <f t="shared" si="2"/>
        <v>104968.9</v>
      </c>
      <c r="W35" s="60">
        <f t="shared" si="3"/>
        <v>18406.7</v>
      </c>
      <c r="X35" s="60">
        <f t="shared" si="4"/>
        <v>1535.5</v>
      </c>
      <c r="Y35" s="60">
        <f t="shared" si="5"/>
        <v>4650</v>
      </c>
      <c r="Z35" s="60">
        <f t="shared" si="6"/>
        <v>5754.7</v>
      </c>
      <c r="AA35" s="60">
        <f t="shared" si="7"/>
        <v>19283.5</v>
      </c>
      <c r="AB35" s="60">
        <f t="shared" si="8"/>
        <v>6081</v>
      </c>
      <c r="AC35" s="60">
        <f t="shared" si="9"/>
        <v>6646.1</v>
      </c>
      <c r="AD35" s="60">
        <f t="shared" si="10"/>
        <v>28710.9</v>
      </c>
      <c r="AE35" s="60">
        <f t="shared" si="11"/>
        <v>5086.1</v>
      </c>
      <c r="AF35" s="60">
        <f t="shared" si="12"/>
        <v>8182.9</v>
      </c>
      <c r="AG35" s="60">
        <f t="shared" si="13"/>
        <v>1981.9</v>
      </c>
      <c r="AH35" s="60">
        <f t="shared" si="14"/>
        <v>13460</v>
      </c>
      <c r="AI35" s="60">
        <f t="shared" si="15"/>
        <v>15436</v>
      </c>
    </row>
    <row r="36" spans="1:35" ht="15">
      <c r="A36" s="62">
        <v>1992</v>
      </c>
      <c r="B36" s="59">
        <v>18104.1</v>
      </c>
      <c r="C36" s="59">
        <v>1506.6</v>
      </c>
      <c r="D36" s="59">
        <v>4492</v>
      </c>
      <c r="E36" s="59">
        <v>5718</v>
      </c>
      <c r="F36" s="59">
        <v>19356.5</v>
      </c>
      <c r="G36" s="59">
        <v>5997.1</v>
      </c>
      <c r="H36" s="59">
        <v>6601.7</v>
      </c>
      <c r="I36" s="59">
        <v>29538.9</v>
      </c>
      <c r="J36" s="59">
        <v>5315.5</v>
      </c>
      <c r="K36" s="59">
        <v>8490.1</v>
      </c>
      <c r="L36" s="64">
        <v>1973</v>
      </c>
      <c r="M36" s="60">
        <v>13760.3</v>
      </c>
      <c r="N36" s="59">
        <v>15676</v>
      </c>
      <c r="O36" s="60">
        <f t="shared" si="1"/>
        <v>105484.29999999999</v>
      </c>
      <c r="P36" s="60">
        <f t="shared" si="16"/>
        <v>0</v>
      </c>
      <c r="U36" s="60">
        <f t="shared" si="2"/>
        <v>105484.29999999999</v>
      </c>
      <c r="W36" s="60">
        <f t="shared" si="3"/>
        <v>18104.1</v>
      </c>
      <c r="X36" s="60">
        <f t="shared" si="4"/>
        <v>1506.6</v>
      </c>
      <c r="Y36" s="60">
        <f t="shared" si="5"/>
        <v>4492</v>
      </c>
      <c r="Z36" s="60">
        <f t="shared" si="6"/>
        <v>5718</v>
      </c>
      <c r="AA36" s="60">
        <f t="shared" si="7"/>
        <v>19356.5</v>
      </c>
      <c r="AB36" s="60">
        <f t="shared" si="8"/>
        <v>5997.1</v>
      </c>
      <c r="AC36" s="60">
        <f t="shared" si="9"/>
        <v>6601.7</v>
      </c>
      <c r="AD36" s="60">
        <f t="shared" si="10"/>
        <v>29538.9</v>
      </c>
      <c r="AE36" s="60">
        <f t="shared" si="11"/>
        <v>5315.5</v>
      </c>
      <c r="AF36" s="60">
        <f t="shared" si="12"/>
        <v>8490.1</v>
      </c>
      <c r="AG36" s="60">
        <f t="shared" si="13"/>
        <v>1973</v>
      </c>
      <c r="AH36" s="60">
        <f t="shared" si="14"/>
        <v>13760.3</v>
      </c>
      <c r="AI36" s="60">
        <f t="shared" si="15"/>
        <v>15676</v>
      </c>
    </row>
    <row r="37" spans="1:35" ht="15">
      <c r="A37" s="62">
        <v>1993</v>
      </c>
      <c r="B37" s="59">
        <v>18075.1</v>
      </c>
      <c r="C37" s="59">
        <v>1516.8</v>
      </c>
      <c r="D37" s="59">
        <v>4667.6</v>
      </c>
      <c r="E37" s="59">
        <v>5811.1</v>
      </c>
      <c r="F37" s="59">
        <v>19773.7</v>
      </c>
      <c r="G37" s="59">
        <v>5981.6</v>
      </c>
      <c r="H37" s="59">
        <v>6756.5</v>
      </c>
      <c r="I37" s="59">
        <v>30649.3</v>
      </c>
      <c r="J37" s="59">
        <v>5734.7</v>
      </c>
      <c r="K37" s="59">
        <v>8755.9</v>
      </c>
      <c r="L37" s="64">
        <v>2034.7</v>
      </c>
      <c r="M37" s="60">
        <v>14124</v>
      </c>
      <c r="N37" s="59">
        <v>15926</v>
      </c>
      <c r="O37" s="60">
        <f t="shared" si="1"/>
        <v>107640.9</v>
      </c>
      <c r="P37" s="60">
        <f t="shared" si="16"/>
        <v>0</v>
      </c>
      <c r="U37" s="60">
        <f t="shared" si="2"/>
        <v>107640.9</v>
      </c>
      <c r="W37" s="60">
        <f t="shared" si="3"/>
        <v>18075.1</v>
      </c>
      <c r="X37" s="60">
        <f t="shared" si="4"/>
        <v>1516.8</v>
      </c>
      <c r="Y37" s="60">
        <f t="shared" si="5"/>
        <v>4667.6</v>
      </c>
      <c r="Z37" s="60">
        <f t="shared" si="6"/>
        <v>5811.1</v>
      </c>
      <c r="AA37" s="60">
        <f t="shared" si="7"/>
        <v>19773.7</v>
      </c>
      <c r="AB37" s="60">
        <f t="shared" si="8"/>
        <v>5981.6</v>
      </c>
      <c r="AC37" s="60">
        <f t="shared" si="9"/>
        <v>6756.5</v>
      </c>
      <c r="AD37" s="60">
        <f t="shared" si="10"/>
        <v>30649.3</v>
      </c>
      <c r="AE37" s="60">
        <f t="shared" si="11"/>
        <v>5734.7</v>
      </c>
      <c r="AF37" s="60">
        <f t="shared" si="12"/>
        <v>8755.9</v>
      </c>
      <c r="AG37" s="60">
        <f t="shared" si="13"/>
        <v>2034.7</v>
      </c>
      <c r="AH37" s="60">
        <f t="shared" si="14"/>
        <v>14124</v>
      </c>
      <c r="AI37" s="60">
        <f t="shared" si="15"/>
        <v>15926</v>
      </c>
    </row>
    <row r="38" spans="1:35" ht="15">
      <c r="A38" s="62">
        <v>1994</v>
      </c>
      <c r="B38" s="59">
        <v>18320.9</v>
      </c>
      <c r="C38" s="59">
        <v>1537.3</v>
      </c>
      <c r="D38" s="59">
        <v>4986.3</v>
      </c>
      <c r="E38" s="59">
        <v>5984.2</v>
      </c>
      <c r="F38" s="59">
        <v>20507.2</v>
      </c>
      <c r="G38" s="59">
        <v>6162.4</v>
      </c>
      <c r="H38" s="59">
        <v>6895.2</v>
      </c>
      <c r="I38" s="59">
        <v>31845.5</v>
      </c>
      <c r="J38" s="59">
        <v>6280.8</v>
      </c>
      <c r="K38" s="59">
        <v>8991.9</v>
      </c>
      <c r="L38" s="64">
        <v>2081.6</v>
      </c>
      <c r="M38" s="60">
        <v>14491.2</v>
      </c>
      <c r="N38" s="59">
        <v>16257</v>
      </c>
      <c r="O38" s="60">
        <f t="shared" si="1"/>
        <v>110958.70000000001</v>
      </c>
      <c r="P38" s="60">
        <f t="shared" si="16"/>
        <v>0</v>
      </c>
      <c r="U38" s="60">
        <f t="shared" si="2"/>
        <v>110958.70000000001</v>
      </c>
      <c r="W38" s="60">
        <f t="shared" si="3"/>
        <v>18320.9</v>
      </c>
      <c r="X38" s="60">
        <f t="shared" si="4"/>
        <v>1537.3</v>
      </c>
      <c r="Y38" s="60">
        <f t="shared" si="5"/>
        <v>4986.3</v>
      </c>
      <c r="Z38" s="60">
        <f t="shared" si="6"/>
        <v>5984.2</v>
      </c>
      <c r="AA38" s="60">
        <f t="shared" si="7"/>
        <v>20507.2</v>
      </c>
      <c r="AB38" s="60">
        <f t="shared" si="8"/>
        <v>6162.4</v>
      </c>
      <c r="AC38" s="60">
        <f t="shared" si="9"/>
        <v>6895.2</v>
      </c>
      <c r="AD38" s="60">
        <f t="shared" si="10"/>
        <v>31845.5</v>
      </c>
      <c r="AE38" s="60">
        <f t="shared" si="11"/>
        <v>6280.8</v>
      </c>
      <c r="AF38" s="60">
        <f t="shared" si="12"/>
        <v>8991.9</v>
      </c>
      <c r="AG38" s="60">
        <f t="shared" si="13"/>
        <v>2081.6</v>
      </c>
      <c r="AH38" s="60">
        <f t="shared" si="14"/>
        <v>14491.2</v>
      </c>
      <c r="AI38" s="60">
        <f t="shared" si="15"/>
        <v>16257</v>
      </c>
    </row>
    <row r="39" spans="1:35" ht="15">
      <c r="A39" s="62">
        <v>1995</v>
      </c>
      <c r="B39" s="59">
        <v>18524</v>
      </c>
      <c r="C39" s="59">
        <v>1545.9</v>
      </c>
      <c r="D39" s="59">
        <v>5160.6</v>
      </c>
      <c r="E39" s="59">
        <v>6132.2</v>
      </c>
      <c r="F39" s="59">
        <v>21187</v>
      </c>
      <c r="G39" s="59">
        <v>6377.8</v>
      </c>
      <c r="H39" s="59">
        <v>6805.9</v>
      </c>
      <c r="I39" s="59">
        <v>33313.4</v>
      </c>
      <c r="J39" s="59">
        <v>6812.5</v>
      </c>
      <c r="K39" s="59">
        <v>9230.4</v>
      </c>
      <c r="L39" s="64">
        <v>2145.9</v>
      </c>
      <c r="M39" s="60">
        <v>15124.6</v>
      </c>
      <c r="N39" s="59">
        <v>16484</v>
      </c>
      <c r="O39" s="60">
        <f t="shared" si="1"/>
        <v>113984.90000000001</v>
      </c>
      <c r="P39" s="60">
        <f t="shared" si="16"/>
        <v>0</v>
      </c>
      <c r="U39" s="60">
        <f t="shared" si="2"/>
        <v>113984.90000000001</v>
      </c>
      <c r="W39" s="60">
        <f t="shared" si="3"/>
        <v>18524</v>
      </c>
      <c r="X39" s="60">
        <f t="shared" si="4"/>
        <v>1545.9</v>
      </c>
      <c r="Y39" s="60">
        <f t="shared" si="5"/>
        <v>5160.6</v>
      </c>
      <c r="Z39" s="60">
        <f t="shared" si="6"/>
        <v>6132.2</v>
      </c>
      <c r="AA39" s="60">
        <f t="shared" si="7"/>
        <v>21187</v>
      </c>
      <c r="AB39" s="60">
        <f t="shared" si="8"/>
        <v>6377.8</v>
      </c>
      <c r="AC39" s="60">
        <f t="shared" si="9"/>
        <v>6805.9</v>
      </c>
      <c r="AD39" s="60">
        <f t="shared" si="10"/>
        <v>33313.4</v>
      </c>
      <c r="AE39" s="60">
        <f t="shared" si="11"/>
        <v>6812.5</v>
      </c>
      <c r="AF39" s="60">
        <f t="shared" si="12"/>
        <v>9230.4</v>
      </c>
      <c r="AG39" s="60">
        <f t="shared" si="13"/>
        <v>2145.9</v>
      </c>
      <c r="AH39" s="60">
        <f t="shared" si="14"/>
        <v>15124.6</v>
      </c>
      <c r="AI39" s="60">
        <f t="shared" si="15"/>
        <v>16484</v>
      </c>
    </row>
    <row r="40" spans="1:35" ht="15">
      <c r="A40" s="62">
        <v>1996</v>
      </c>
      <c r="B40" s="59">
        <v>18495</v>
      </c>
      <c r="C40" s="59">
        <v>1540.3</v>
      </c>
      <c r="D40" s="59">
        <v>5417.7</v>
      </c>
      <c r="E40" s="59">
        <v>6253.1</v>
      </c>
      <c r="F40" s="59">
        <v>21596.8</v>
      </c>
      <c r="G40" s="59">
        <v>6482</v>
      </c>
      <c r="H40" s="59">
        <v>6911</v>
      </c>
      <c r="I40" s="59">
        <v>34595.4</v>
      </c>
      <c r="J40" s="59">
        <v>7292.9</v>
      </c>
      <c r="K40" s="59">
        <v>9478</v>
      </c>
      <c r="L40" s="64">
        <v>2201.4</v>
      </c>
      <c r="M40" s="60">
        <v>15623.1</v>
      </c>
      <c r="N40" s="59">
        <v>16662</v>
      </c>
      <c r="O40" s="60">
        <f t="shared" si="1"/>
        <v>116413</v>
      </c>
      <c r="P40" s="60">
        <f t="shared" si="16"/>
        <v>0</v>
      </c>
      <c r="U40" s="60">
        <f t="shared" si="2"/>
        <v>116413</v>
      </c>
      <c r="W40" s="60">
        <f t="shared" si="3"/>
        <v>18495</v>
      </c>
      <c r="X40" s="60">
        <f t="shared" si="4"/>
        <v>1540.3</v>
      </c>
      <c r="Y40" s="60">
        <f t="shared" si="5"/>
        <v>5417.7</v>
      </c>
      <c r="Z40" s="60">
        <f t="shared" si="6"/>
        <v>6253.1</v>
      </c>
      <c r="AA40" s="60">
        <f t="shared" si="7"/>
        <v>21596.8</v>
      </c>
      <c r="AB40" s="60">
        <f t="shared" si="8"/>
        <v>6482</v>
      </c>
      <c r="AC40" s="60">
        <f t="shared" si="9"/>
        <v>6911</v>
      </c>
      <c r="AD40" s="60">
        <f t="shared" si="10"/>
        <v>34595.4</v>
      </c>
      <c r="AE40" s="60">
        <f t="shared" si="11"/>
        <v>7292.9</v>
      </c>
      <c r="AF40" s="60">
        <f t="shared" si="12"/>
        <v>9478</v>
      </c>
      <c r="AG40" s="60">
        <f t="shared" si="13"/>
        <v>2201.4</v>
      </c>
      <c r="AH40" s="60">
        <f t="shared" si="14"/>
        <v>15623.1</v>
      </c>
      <c r="AI40" s="60">
        <f t="shared" si="15"/>
        <v>16662</v>
      </c>
    </row>
    <row r="41" spans="1:35" ht="15">
      <c r="A41" s="62">
        <v>1997</v>
      </c>
      <c r="B41" s="59">
        <v>18676.2</v>
      </c>
      <c r="C41" s="59">
        <v>1552.5</v>
      </c>
      <c r="D41" s="59">
        <v>5690.8</v>
      </c>
      <c r="E41" s="59">
        <v>6408.2</v>
      </c>
      <c r="F41" s="59">
        <v>21966.4</v>
      </c>
      <c r="G41" s="59">
        <v>6648.1</v>
      </c>
      <c r="H41" s="59">
        <v>7108.7</v>
      </c>
      <c r="I41" s="59">
        <v>36103.1</v>
      </c>
      <c r="J41" s="59">
        <v>7987.5</v>
      </c>
      <c r="K41" s="59">
        <v>9702.7</v>
      </c>
      <c r="L41" s="64">
        <v>2276.5</v>
      </c>
      <c r="M41" s="60">
        <v>16136.4</v>
      </c>
      <c r="N41" s="59">
        <v>16857</v>
      </c>
      <c r="O41" s="60">
        <f t="shared" si="1"/>
        <v>119458.5</v>
      </c>
      <c r="P41" s="60">
        <f t="shared" si="16"/>
        <v>0</v>
      </c>
      <c r="U41" s="60">
        <f t="shared" si="2"/>
        <v>119458.5</v>
      </c>
      <c r="W41" s="60">
        <f t="shared" si="3"/>
        <v>18676.2</v>
      </c>
      <c r="X41" s="60">
        <f t="shared" si="4"/>
        <v>1552.5</v>
      </c>
      <c r="Y41" s="60">
        <f t="shared" si="5"/>
        <v>5690.8</v>
      </c>
      <c r="Z41" s="60">
        <f t="shared" si="6"/>
        <v>6408.2</v>
      </c>
      <c r="AA41" s="60">
        <f t="shared" si="7"/>
        <v>21966.4</v>
      </c>
      <c r="AB41" s="60">
        <f t="shared" si="8"/>
        <v>6648.1</v>
      </c>
      <c r="AC41" s="60">
        <f t="shared" si="9"/>
        <v>7108.7</v>
      </c>
      <c r="AD41" s="60">
        <f t="shared" si="10"/>
        <v>36103.1</v>
      </c>
      <c r="AE41" s="60">
        <f t="shared" si="11"/>
        <v>7987.5</v>
      </c>
      <c r="AF41" s="60">
        <f t="shared" si="12"/>
        <v>9702.7</v>
      </c>
      <c r="AG41" s="60">
        <f t="shared" si="13"/>
        <v>2276.5</v>
      </c>
      <c r="AH41" s="60">
        <f t="shared" si="14"/>
        <v>16136.4</v>
      </c>
      <c r="AI41" s="60">
        <f t="shared" si="15"/>
        <v>16857</v>
      </c>
    </row>
    <row r="42" spans="1:35" ht="15">
      <c r="A42" s="62">
        <v>1998</v>
      </c>
      <c r="B42" s="59">
        <v>18805.1</v>
      </c>
      <c r="C42" s="59">
        <v>1564.6</v>
      </c>
      <c r="D42" s="59">
        <v>6020.1</v>
      </c>
      <c r="E42" s="59">
        <v>6610.7</v>
      </c>
      <c r="F42" s="59">
        <v>22295.2</v>
      </c>
      <c r="G42" s="59">
        <v>6799.8</v>
      </c>
      <c r="H42" s="59">
        <v>7388.6</v>
      </c>
      <c r="I42" s="59">
        <v>37566.2</v>
      </c>
      <c r="J42" s="59">
        <v>8618</v>
      </c>
      <c r="K42" s="59">
        <v>9852.4</v>
      </c>
      <c r="L42" s="64">
        <v>2372</v>
      </c>
      <c r="M42" s="60">
        <v>16723.8</v>
      </c>
      <c r="N42" s="59">
        <v>17133</v>
      </c>
      <c r="O42" s="60">
        <f t="shared" si="1"/>
        <v>122618.7</v>
      </c>
      <c r="P42" s="60">
        <f t="shared" si="16"/>
        <v>0</v>
      </c>
      <c r="U42" s="60">
        <f t="shared" si="2"/>
        <v>122618.7</v>
      </c>
      <c r="W42" s="60">
        <f t="shared" si="3"/>
        <v>18805.1</v>
      </c>
      <c r="X42" s="60">
        <f t="shared" si="4"/>
        <v>1564.6</v>
      </c>
      <c r="Y42" s="60">
        <f t="shared" si="5"/>
        <v>6020.1</v>
      </c>
      <c r="Z42" s="60">
        <f t="shared" si="6"/>
        <v>6610.7</v>
      </c>
      <c r="AA42" s="60">
        <f t="shared" si="7"/>
        <v>22295.2</v>
      </c>
      <c r="AB42" s="60">
        <f t="shared" si="8"/>
        <v>6799.8</v>
      </c>
      <c r="AC42" s="60">
        <f t="shared" si="9"/>
        <v>7388.6</v>
      </c>
      <c r="AD42" s="60">
        <f t="shared" si="10"/>
        <v>37566.2</v>
      </c>
      <c r="AE42" s="60">
        <f t="shared" si="11"/>
        <v>8618</v>
      </c>
      <c r="AF42" s="60">
        <f t="shared" si="12"/>
        <v>9852.4</v>
      </c>
      <c r="AG42" s="60">
        <f t="shared" si="13"/>
        <v>2372</v>
      </c>
      <c r="AH42" s="60">
        <f t="shared" si="14"/>
        <v>16723.8</v>
      </c>
      <c r="AI42" s="60">
        <f t="shared" si="15"/>
        <v>17133</v>
      </c>
    </row>
    <row r="43" spans="1:35" ht="12.75">
      <c r="A43" s="62">
        <v>1999</v>
      </c>
      <c r="B43" s="65">
        <v>18552</v>
      </c>
      <c r="C43" s="65">
        <v>1552.3</v>
      </c>
      <c r="D43" s="65">
        <v>6415</v>
      </c>
      <c r="E43" s="65">
        <v>6834</v>
      </c>
      <c r="F43" s="65">
        <v>22848</v>
      </c>
      <c r="G43" s="65">
        <v>6911</v>
      </c>
      <c r="H43" s="65">
        <v>7555</v>
      </c>
      <c r="I43" s="59">
        <v>38989</v>
      </c>
      <c r="J43" s="59">
        <v>9299.9</v>
      </c>
      <c r="K43" s="65">
        <v>9976.6</v>
      </c>
      <c r="L43" s="65">
        <v>2436</v>
      </c>
      <c r="M43" s="60">
        <v>17276.5</v>
      </c>
      <c r="N43" s="65">
        <v>17538</v>
      </c>
      <c r="O43" s="60">
        <f t="shared" si="1"/>
        <v>125642</v>
      </c>
      <c r="P43" s="60">
        <f t="shared" si="16"/>
        <v>0</v>
      </c>
      <c r="Q43" s="60"/>
      <c r="U43" s="60">
        <f t="shared" si="2"/>
        <v>125642</v>
      </c>
      <c r="W43" s="60">
        <f t="shared" si="3"/>
        <v>18552</v>
      </c>
      <c r="X43" s="60">
        <f t="shared" si="4"/>
        <v>1552.3</v>
      </c>
      <c r="Y43" s="60">
        <f t="shared" si="5"/>
        <v>6415</v>
      </c>
      <c r="Z43" s="60">
        <f t="shared" si="6"/>
        <v>6834</v>
      </c>
      <c r="AA43" s="60">
        <f t="shared" si="7"/>
        <v>22848</v>
      </c>
      <c r="AB43" s="60">
        <f t="shared" si="8"/>
        <v>6911</v>
      </c>
      <c r="AC43" s="60">
        <f t="shared" si="9"/>
        <v>7555</v>
      </c>
      <c r="AD43" s="60">
        <f t="shared" si="10"/>
        <v>38989</v>
      </c>
      <c r="AE43" s="60">
        <f t="shared" si="11"/>
        <v>9299.9</v>
      </c>
      <c r="AF43" s="60">
        <f t="shared" si="12"/>
        <v>9976.6</v>
      </c>
      <c r="AG43" s="60">
        <f t="shared" si="13"/>
        <v>2436</v>
      </c>
      <c r="AH43" s="60">
        <f t="shared" si="14"/>
        <v>17276.5</v>
      </c>
      <c r="AI43" s="60">
        <f t="shared" si="15"/>
        <v>17538</v>
      </c>
    </row>
    <row r="44" spans="1:35" ht="12.75">
      <c r="A44" s="61">
        <v>2000</v>
      </c>
      <c r="B44" s="65">
        <v>18473</v>
      </c>
      <c r="C44" s="65">
        <v>1547.5</v>
      </c>
      <c r="D44" s="65">
        <v>6653</v>
      </c>
      <c r="E44" s="65">
        <v>7031</v>
      </c>
      <c r="F44" s="65">
        <v>23337</v>
      </c>
      <c r="G44" s="65">
        <v>6947</v>
      </c>
      <c r="H44" s="65">
        <v>7578</v>
      </c>
      <c r="I44" s="59">
        <v>40215.1</v>
      </c>
      <c r="J44" s="65">
        <v>9852.3</v>
      </c>
      <c r="K44" s="65">
        <v>10103.4</v>
      </c>
      <c r="L44" s="65">
        <v>2466</v>
      </c>
      <c r="M44" s="60">
        <v>17801.6</v>
      </c>
      <c r="N44" s="65">
        <v>17925</v>
      </c>
      <c r="O44" s="60">
        <f t="shared" si="1"/>
        <v>128159.1</v>
      </c>
      <c r="P44" s="60">
        <f t="shared" si="16"/>
        <v>-8.19999999999709</v>
      </c>
      <c r="Q44" s="60"/>
      <c r="U44" s="60">
        <f t="shared" si="2"/>
        <v>128159.1</v>
      </c>
      <c r="W44" s="60">
        <f t="shared" si="3"/>
        <v>18473</v>
      </c>
      <c r="X44" s="60">
        <f t="shared" si="4"/>
        <v>1547.5</v>
      </c>
      <c r="Y44" s="60">
        <f t="shared" si="5"/>
        <v>6653</v>
      </c>
      <c r="Z44" s="60">
        <f t="shared" si="6"/>
        <v>7031</v>
      </c>
      <c r="AA44" s="60">
        <f t="shared" si="7"/>
        <v>23337</v>
      </c>
      <c r="AB44" s="60">
        <f t="shared" si="8"/>
        <v>6947</v>
      </c>
      <c r="AC44" s="60">
        <f t="shared" si="9"/>
        <v>7578</v>
      </c>
      <c r="AD44" s="60">
        <f t="shared" si="10"/>
        <v>40215.1</v>
      </c>
      <c r="AE44" s="60">
        <f t="shared" si="11"/>
        <v>9852.3</v>
      </c>
      <c r="AF44" s="60">
        <f t="shared" si="12"/>
        <v>10103.4</v>
      </c>
      <c r="AG44" s="60">
        <f t="shared" si="13"/>
        <v>2466</v>
      </c>
      <c r="AH44" s="60">
        <f t="shared" si="14"/>
        <v>17801.6</v>
      </c>
      <c r="AI44" s="60">
        <f t="shared" si="15"/>
        <v>17925</v>
      </c>
    </row>
    <row r="45" spans="1:35" ht="12.75">
      <c r="A45" s="62">
        <v>2001</v>
      </c>
      <c r="B45" s="59">
        <v>17695</v>
      </c>
      <c r="C45" s="59">
        <v>1490.8</v>
      </c>
      <c r="D45" s="59">
        <v>6685</v>
      </c>
      <c r="E45" s="59">
        <v>7065</v>
      </c>
      <c r="F45" s="59">
        <v>23522</v>
      </c>
      <c r="G45" s="59">
        <v>6776</v>
      </c>
      <c r="H45" s="59">
        <v>7712</v>
      </c>
      <c r="I45" s="66">
        <v>40667.3</v>
      </c>
      <c r="J45" s="59">
        <v>9572.3</v>
      </c>
      <c r="K45" s="59">
        <v>10380.7</v>
      </c>
      <c r="L45" s="60">
        <v>2468</v>
      </c>
      <c r="M45" s="66">
        <v>18246.3</v>
      </c>
      <c r="N45" s="59">
        <v>18317</v>
      </c>
      <c r="O45" s="60">
        <f t="shared" si="1"/>
        <v>128439.3</v>
      </c>
      <c r="P45" s="60">
        <f t="shared" si="16"/>
        <v>0</v>
      </c>
      <c r="Q45" s="60"/>
      <c r="U45" s="60">
        <f t="shared" si="2"/>
        <v>128439.3</v>
      </c>
      <c r="W45" s="60">
        <f t="shared" si="3"/>
        <v>17695</v>
      </c>
      <c r="X45" s="60">
        <f t="shared" si="4"/>
        <v>1490.8</v>
      </c>
      <c r="Y45" s="60">
        <f t="shared" si="5"/>
        <v>6685</v>
      </c>
      <c r="Z45" s="60">
        <f t="shared" si="6"/>
        <v>7065</v>
      </c>
      <c r="AA45" s="60">
        <f t="shared" si="7"/>
        <v>23522</v>
      </c>
      <c r="AB45" s="60">
        <f t="shared" si="8"/>
        <v>6776</v>
      </c>
      <c r="AC45" s="60">
        <f t="shared" si="9"/>
        <v>7712</v>
      </c>
      <c r="AD45" s="60">
        <f t="shared" si="10"/>
        <v>40667.3</v>
      </c>
      <c r="AE45" s="60">
        <f t="shared" si="11"/>
        <v>9572.3</v>
      </c>
      <c r="AF45" s="60">
        <f t="shared" si="12"/>
        <v>10380.7</v>
      </c>
      <c r="AG45" s="60">
        <f t="shared" si="13"/>
        <v>2468</v>
      </c>
      <c r="AH45" s="60">
        <f t="shared" si="14"/>
        <v>18246.3</v>
      </c>
      <c r="AI45" s="60">
        <f t="shared" si="15"/>
        <v>18317</v>
      </c>
    </row>
    <row r="46" spans="1:35" ht="12.75">
      <c r="A46" s="62">
        <v>2002</v>
      </c>
      <c r="B46" s="59">
        <v>16724</v>
      </c>
      <c r="C46" s="59">
        <v>1410</v>
      </c>
      <c r="D46" s="67">
        <v>6556</v>
      </c>
      <c r="E46" s="59">
        <v>6773</v>
      </c>
      <c r="F46" s="59">
        <v>23306</v>
      </c>
      <c r="G46" s="59">
        <v>6671</v>
      </c>
      <c r="H46" s="59">
        <v>7760</v>
      </c>
      <c r="I46" s="66">
        <v>40863.5</v>
      </c>
      <c r="J46" s="59">
        <v>9305.2</v>
      </c>
      <c r="K46" s="59">
        <v>10673.1</v>
      </c>
      <c r="L46" s="60">
        <v>2476.7</v>
      </c>
      <c r="M46" s="66">
        <v>18408.5</v>
      </c>
      <c r="N46" s="59">
        <v>18640</v>
      </c>
      <c r="O46" s="60">
        <f t="shared" si="1"/>
        <v>127293.5</v>
      </c>
      <c r="P46" s="60">
        <f t="shared" si="16"/>
        <v>0</v>
      </c>
      <c r="Q46" s="60"/>
      <c r="U46" s="60">
        <f t="shared" si="2"/>
        <v>127293.5</v>
      </c>
      <c r="W46" s="60">
        <f t="shared" si="3"/>
        <v>16724</v>
      </c>
      <c r="X46" s="60">
        <f t="shared" si="4"/>
        <v>1410</v>
      </c>
      <c r="Y46" s="60">
        <f t="shared" si="5"/>
        <v>6556</v>
      </c>
      <c r="Z46" s="60">
        <f t="shared" si="6"/>
        <v>6773</v>
      </c>
      <c r="AA46" s="60">
        <f t="shared" si="7"/>
        <v>23306</v>
      </c>
      <c r="AB46" s="60">
        <f t="shared" si="8"/>
        <v>6671</v>
      </c>
      <c r="AC46" s="60">
        <f t="shared" si="9"/>
        <v>7760</v>
      </c>
      <c r="AD46" s="60">
        <f t="shared" si="10"/>
        <v>40863.5</v>
      </c>
      <c r="AE46" s="60">
        <f t="shared" si="11"/>
        <v>9305.2</v>
      </c>
      <c r="AF46" s="60">
        <f t="shared" si="12"/>
        <v>10673.1</v>
      </c>
      <c r="AG46" s="60">
        <f t="shared" si="13"/>
        <v>2476.7</v>
      </c>
      <c r="AH46" s="60">
        <f t="shared" si="14"/>
        <v>18408.5</v>
      </c>
      <c r="AI46" s="60">
        <f t="shared" si="15"/>
        <v>18640</v>
      </c>
    </row>
    <row r="47" spans="1:35" ht="12.75">
      <c r="A47" s="62">
        <v>2003</v>
      </c>
      <c r="B47" s="68">
        <v>16760.8</v>
      </c>
      <c r="C47" s="68">
        <v>1409.8</v>
      </c>
      <c r="D47" s="68">
        <v>6663.9</v>
      </c>
      <c r="E47" s="68">
        <v>6936.5</v>
      </c>
      <c r="F47" s="68">
        <v>23622.7</v>
      </c>
      <c r="G47" s="68">
        <v>6809.5</v>
      </c>
      <c r="H47" s="68">
        <v>7808.6</v>
      </c>
      <c r="I47" s="68">
        <v>42234.6</v>
      </c>
      <c r="J47" s="68">
        <v>9902.4</v>
      </c>
      <c r="K47" s="68">
        <v>11000.5</v>
      </c>
      <c r="L47" s="68">
        <v>2513</v>
      </c>
      <c r="M47" s="66">
        <v>18818.7</v>
      </c>
      <c r="N47" s="68">
        <v>18793.7</v>
      </c>
      <c r="O47" s="60">
        <f t="shared" si="1"/>
        <v>129630.3</v>
      </c>
      <c r="P47" s="60">
        <f t="shared" si="16"/>
        <v>0</v>
      </c>
      <c r="Q47" s="60"/>
      <c r="U47" s="60">
        <f t="shared" si="2"/>
        <v>129630.3</v>
      </c>
      <c r="W47" s="60">
        <f t="shared" si="3"/>
        <v>16760.8</v>
      </c>
      <c r="X47" s="60">
        <f t="shared" si="4"/>
        <v>1409.8</v>
      </c>
      <c r="Y47" s="60">
        <f t="shared" si="5"/>
        <v>6663.9</v>
      </c>
      <c r="Z47" s="60">
        <f t="shared" si="6"/>
        <v>6936.5</v>
      </c>
      <c r="AA47" s="60">
        <f t="shared" si="7"/>
        <v>23622.7</v>
      </c>
      <c r="AB47" s="60">
        <f t="shared" si="8"/>
        <v>6809.5</v>
      </c>
      <c r="AC47" s="60">
        <f t="shared" si="9"/>
        <v>7808.6</v>
      </c>
      <c r="AD47" s="60">
        <f t="shared" si="10"/>
        <v>42234.6</v>
      </c>
      <c r="AE47" s="60">
        <f t="shared" si="11"/>
        <v>9902.4</v>
      </c>
      <c r="AF47" s="60">
        <f t="shared" si="12"/>
        <v>11000.5</v>
      </c>
      <c r="AG47" s="60">
        <f t="shared" si="13"/>
        <v>2513</v>
      </c>
      <c r="AH47" s="60">
        <f t="shared" si="14"/>
        <v>18818.7</v>
      </c>
      <c r="AI47" s="60">
        <f t="shared" si="15"/>
        <v>18793.7</v>
      </c>
    </row>
    <row r="48" spans="1:35" ht="12.75">
      <c r="A48" s="62">
        <v>2004</v>
      </c>
      <c r="B48" s="68">
        <v>16809.7</v>
      </c>
      <c r="C48" s="68">
        <v>1409.6</v>
      </c>
      <c r="D48" s="68">
        <v>6779.7</v>
      </c>
      <c r="E48" s="68">
        <v>7111.1</v>
      </c>
      <c r="F48" s="68">
        <v>23996.1</v>
      </c>
      <c r="G48" s="68">
        <v>6945.3</v>
      </c>
      <c r="H48" s="68">
        <v>7868.3</v>
      </c>
      <c r="I48" s="68">
        <v>43636</v>
      </c>
      <c r="J48" s="68">
        <v>10526.2</v>
      </c>
      <c r="K48" s="68">
        <v>11312.1</v>
      </c>
      <c r="L48" s="68">
        <v>2547.9</v>
      </c>
      <c r="M48" s="66">
        <v>19249.8</v>
      </c>
      <c r="N48" s="68">
        <v>18937.8</v>
      </c>
      <c r="O48" s="60">
        <f t="shared" si="1"/>
        <v>132084</v>
      </c>
      <c r="P48" s="60">
        <f t="shared" si="16"/>
        <v>0</v>
      </c>
      <c r="Q48" s="60"/>
      <c r="U48" s="60">
        <f t="shared" si="2"/>
        <v>132084</v>
      </c>
      <c r="W48" s="60">
        <f t="shared" si="3"/>
        <v>16809.7</v>
      </c>
      <c r="X48" s="60">
        <f t="shared" si="4"/>
        <v>1409.6</v>
      </c>
      <c r="Y48" s="60">
        <f t="shared" si="5"/>
        <v>6779.7</v>
      </c>
      <c r="Z48" s="60">
        <f t="shared" si="6"/>
        <v>7111.1</v>
      </c>
      <c r="AA48" s="60">
        <f t="shared" si="7"/>
        <v>23996.1</v>
      </c>
      <c r="AB48" s="60">
        <f t="shared" si="8"/>
        <v>6945.3</v>
      </c>
      <c r="AC48" s="60">
        <f t="shared" si="9"/>
        <v>7868.3</v>
      </c>
      <c r="AD48" s="60">
        <f t="shared" si="10"/>
        <v>43636</v>
      </c>
      <c r="AE48" s="60">
        <f t="shared" si="11"/>
        <v>10526.2</v>
      </c>
      <c r="AF48" s="60">
        <f t="shared" si="12"/>
        <v>11312.1</v>
      </c>
      <c r="AG48" s="60">
        <f t="shared" si="13"/>
        <v>2547.9</v>
      </c>
      <c r="AH48" s="60">
        <f t="shared" si="14"/>
        <v>19249.8</v>
      </c>
      <c r="AI48" s="60">
        <f t="shared" si="15"/>
        <v>18937.8</v>
      </c>
    </row>
    <row r="49" spans="1:35" ht="12.75">
      <c r="A49" s="62">
        <v>2005</v>
      </c>
      <c r="B49" s="68">
        <v>16865.9</v>
      </c>
      <c r="C49" s="68">
        <v>1409.4</v>
      </c>
      <c r="D49" s="68">
        <v>6900.2</v>
      </c>
      <c r="E49" s="68">
        <v>7300.6</v>
      </c>
      <c r="F49" s="68">
        <v>24381.8</v>
      </c>
      <c r="G49" s="68">
        <v>7082.4</v>
      </c>
      <c r="H49" s="68">
        <v>7929.3</v>
      </c>
      <c r="I49" s="68">
        <v>45068.2</v>
      </c>
      <c r="J49" s="68">
        <v>11177.5</v>
      </c>
      <c r="K49" s="68">
        <v>11609.1</v>
      </c>
      <c r="L49" s="68">
        <v>2581.5</v>
      </c>
      <c r="M49" s="66">
        <v>19700.1</v>
      </c>
      <c r="N49" s="68">
        <v>19081.4</v>
      </c>
      <c r="O49" s="60">
        <f t="shared" si="1"/>
        <v>134609.8</v>
      </c>
      <c r="P49" s="60">
        <f t="shared" si="16"/>
        <v>0</v>
      </c>
      <c r="Q49" s="60"/>
      <c r="U49" s="60">
        <f t="shared" si="2"/>
        <v>134609.8</v>
      </c>
      <c r="W49" s="60">
        <f t="shared" si="3"/>
        <v>16865.9</v>
      </c>
      <c r="X49" s="60">
        <f t="shared" si="4"/>
        <v>1409.4</v>
      </c>
      <c r="Y49" s="60">
        <f t="shared" si="5"/>
        <v>6900.2</v>
      </c>
      <c r="Z49" s="60">
        <f t="shared" si="6"/>
        <v>7300.6</v>
      </c>
      <c r="AA49" s="60">
        <f t="shared" si="7"/>
        <v>24381.8</v>
      </c>
      <c r="AB49" s="60">
        <f t="shared" si="8"/>
        <v>7082.4</v>
      </c>
      <c r="AC49" s="60">
        <f t="shared" si="9"/>
        <v>7929.3</v>
      </c>
      <c r="AD49" s="60">
        <f t="shared" si="10"/>
        <v>45068.2</v>
      </c>
      <c r="AE49" s="60">
        <f t="shared" si="11"/>
        <v>11177.5</v>
      </c>
      <c r="AF49" s="60">
        <f t="shared" si="12"/>
        <v>11609.1</v>
      </c>
      <c r="AG49" s="60">
        <f t="shared" si="13"/>
        <v>2581.5</v>
      </c>
      <c r="AH49" s="60">
        <f t="shared" si="14"/>
        <v>19700.1</v>
      </c>
      <c r="AI49" s="60">
        <f t="shared" si="15"/>
        <v>19081.4</v>
      </c>
    </row>
    <row r="50" spans="1:35" ht="12.75">
      <c r="A50" s="62">
        <v>2006</v>
      </c>
      <c r="B50" s="68">
        <v>16922.9</v>
      </c>
      <c r="C50" s="68">
        <v>1409.1</v>
      </c>
      <c r="D50" s="68">
        <v>7021.6</v>
      </c>
      <c r="E50" s="68">
        <v>7492.1</v>
      </c>
      <c r="F50" s="68">
        <v>24771.7</v>
      </c>
      <c r="G50" s="68">
        <v>7221.2</v>
      </c>
      <c r="H50" s="68">
        <v>7990.4</v>
      </c>
      <c r="I50" s="68">
        <v>46537.3</v>
      </c>
      <c r="J50" s="68">
        <v>11858.3</v>
      </c>
      <c r="K50" s="68">
        <v>11893.4</v>
      </c>
      <c r="L50" s="68">
        <v>2614</v>
      </c>
      <c r="M50" s="66">
        <v>20171.6</v>
      </c>
      <c r="N50" s="68">
        <v>19226</v>
      </c>
      <c r="O50" s="60">
        <f t="shared" si="1"/>
        <v>137183.2</v>
      </c>
      <c r="P50" s="60">
        <f t="shared" si="16"/>
        <v>0</v>
      </c>
      <c r="Q50" s="60"/>
      <c r="U50" s="60">
        <f t="shared" si="2"/>
        <v>137183.2</v>
      </c>
      <c r="W50" s="60">
        <f t="shared" si="3"/>
        <v>16922.9</v>
      </c>
      <c r="X50" s="60">
        <f t="shared" si="4"/>
        <v>1409.1</v>
      </c>
      <c r="Y50" s="60">
        <f t="shared" si="5"/>
        <v>7021.6</v>
      </c>
      <c r="Z50" s="60">
        <f t="shared" si="6"/>
        <v>7492.1</v>
      </c>
      <c r="AA50" s="60">
        <f t="shared" si="7"/>
        <v>24771.7</v>
      </c>
      <c r="AB50" s="60">
        <f t="shared" si="8"/>
        <v>7221.2</v>
      </c>
      <c r="AC50" s="60">
        <f t="shared" si="9"/>
        <v>7990.4</v>
      </c>
      <c r="AD50" s="60">
        <f t="shared" si="10"/>
        <v>46537.3</v>
      </c>
      <c r="AE50" s="60">
        <f t="shared" si="11"/>
        <v>11858.3</v>
      </c>
      <c r="AF50" s="60">
        <f t="shared" si="12"/>
        <v>11893.4</v>
      </c>
      <c r="AG50" s="60">
        <f t="shared" si="13"/>
        <v>2614</v>
      </c>
      <c r="AH50" s="60">
        <f t="shared" si="14"/>
        <v>20171.6</v>
      </c>
      <c r="AI50" s="60">
        <f t="shared" si="15"/>
        <v>19226</v>
      </c>
    </row>
    <row r="51" spans="1:35" ht="12.75">
      <c r="A51" s="62">
        <v>2007</v>
      </c>
      <c r="B51" s="68">
        <v>16980.5</v>
      </c>
      <c r="C51" s="68">
        <v>1408.9</v>
      </c>
      <c r="D51" s="68">
        <v>7143.8</v>
      </c>
      <c r="E51" s="68">
        <v>7685.5</v>
      </c>
      <c r="F51" s="68">
        <v>25165.8</v>
      </c>
      <c r="G51" s="68">
        <v>7361.6</v>
      </c>
      <c r="H51" s="68">
        <v>8051.6</v>
      </c>
      <c r="I51" s="68">
        <v>48044.4</v>
      </c>
      <c r="J51" s="68">
        <v>12569.9</v>
      </c>
      <c r="K51" s="68">
        <v>12166.2</v>
      </c>
      <c r="L51" s="68">
        <v>2645.4</v>
      </c>
      <c r="M51" s="66">
        <v>20662.9</v>
      </c>
      <c r="N51" s="68">
        <v>19371.6</v>
      </c>
      <c r="O51" s="60">
        <f t="shared" si="1"/>
        <v>139804.80000000002</v>
      </c>
      <c r="P51" s="60">
        <f t="shared" si="16"/>
        <v>0</v>
      </c>
      <c r="Q51" s="60"/>
      <c r="U51" s="60">
        <f t="shared" si="2"/>
        <v>139804.80000000002</v>
      </c>
      <c r="W51" s="60">
        <f t="shared" si="3"/>
        <v>16980.5</v>
      </c>
      <c r="X51" s="60">
        <f t="shared" si="4"/>
        <v>1408.9</v>
      </c>
      <c r="Y51" s="60">
        <f t="shared" si="5"/>
        <v>7143.8</v>
      </c>
      <c r="Z51" s="60">
        <f t="shared" si="6"/>
        <v>7685.5</v>
      </c>
      <c r="AA51" s="60">
        <f t="shared" si="7"/>
        <v>25165.8</v>
      </c>
      <c r="AB51" s="60">
        <f t="shared" si="8"/>
        <v>7361.6</v>
      </c>
      <c r="AC51" s="60">
        <f t="shared" si="9"/>
        <v>8051.6</v>
      </c>
      <c r="AD51" s="60">
        <f t="shared" si="10"/>
        <v>48044.4</v>
      </c>
      <c r="AE51" s="60">
        <f t="shared" si="11"/>
        <v>12569.9</v>
      </c>
      <c r="AF51" s="60">
        <f t="shared" si="12"/>
        <v>12166.2</v>
      </c>
      <c r="AG51" s="60">
        <f t="shared" si="13"/>
        <v>2645.4</v>
      </c>
      <c r="AH51" s="60">
        <f t="shared" si="14"/>
        <v>20662.9</v>
      </c>
      <c r="AI51" s="60">
        <f t="shared" si="15"/>
        <v>19371.6</v>
      </c>
    </row>
    <row r="52" spans="1:35" ht="12.75">
      <c r="A52" s="62">
        <v>2008</v>
      </c>
      <c r="B52" s="68">
        <v>17038.8</v>
      </c>
      <c r="C52" s="68">
        <v>1408.6</v>
      </c>
      <c r="D52" s="68">
        <v>7266.8</v>
      </c>
      <c r="E52" s="68">
        <v>7880.8</v>
      </c>
      <c r="F52" s="68">
        <v>25564.1</v>
      </c>
      <c r="G52" s="68">
        <v>7503.8</v>
      </c>
      <c r="H52" s="68">
        <v>8112.8</v>
      </c>
      <c r="I52" s="68">
        <v>49590.4</v>
      </c>
      <c r="J52" s="68">
        <v>13313.1</v>
      </c>
      <c r="K52" s="68">
        <v>12428.4</v>
      </c>
      <c r="L52" s="68">
        <v>2675.9</v>
      </c>
      <c r="M52" s="66">
        <v>21173</v>
      </c>
      <c r="N52" s="68">
        <v>19518</v>
      </c>
      <c r="O52" s="60">
        <f t="shared" si="1"/>
        <v>142475.5</v>
      </c>
      <c r="P52" s="60">
        <f t="shared" si="16"/>
        <v>0</v>
      </c>
      <c r="Q52" s="60"/>
      <c r="U52" s="60">
        <f t="shared" si="2"/>
        <v>142475.5</v>
      </c>
      <c r="W52" s="60">
        <f t="shared" si="3"/>
        <v>17038.8</v>
      </c>
      <c r="X52" s="60">
        <f t="shared" si="4"/>
        <v>1408.6</v>
      </c>
      <c r="Y52" s="60">
        <f t="shared" si="5"/>
        <v>7266.8</v>
      </c>
      <c r="Z52" s="60">
        <f t="shared" si="6"/>
        <v>7880.8</v>
      </c>
      <c r="AA52" s="60">
        <f t="shared" si="7"/>
        <v>25564.1</v>
      </c>
      <c r="AB52" s="60">
        <f t="shared" si="8"/>
        <v>7503.8</v>
      </c>
      <c r="AC52" s="60">
        <f t="shared" si="9"/>
        <v>8112.8</v>
      </c>
      <c r="AD52" s="60">
        <f t="shared" si="10"/>
        <v>49590.4</v>
      </c>
      <c r="AE52" s="60">
        <f t="shared" si="11"/>
        <v>13313.1</v>
      </c>
      <c r="AF52" s="60">
        <f t="shared" si="12"/>
        <v>12428.4</v>
      </c>
      <c r="AG52" s="60">
        <f t="shared" si="13"/>
        <v>2675.9</v>
      </c>
      <c r="AH52" s="60">
        <f t="shared" si="14"/>
        <v>21173</v>
      </c>
      <c r="AI52" s="60">
        <f t="shared" si="15"/>
        <v>19518</v>
      </c>
    </row>
    <row r="53" spans="1:35" ht="12.75">
      <c r="A53" s="62">
        <v>2009</v>
      </c>
      <c r="B53" s="68">
        <v>17097.8</v>
      </c>
      <c r="C53" s="68">
        <v>1408.3</v>
      </c>
      <c r="D53" s="68">
        <v>7390.6</v>
      </c>
      <c r="E53" s="68">
        <v>8077.9</v>
      </c>
      <c r="F53" s="68">
        <v>25966.7</v>
      </c>
      <c r="G53" s="68">
        <v>7647.6</v>
      </c>
      <c r="H53" s="68">
        <v>8174.1</v>
      </c>
      <c r="I53" s="68">
        <v>51176</v>
      </c>
      <c r="J53" s="68">
        <v>14089.2</v>
      </c>
      <c r="K53" s="68">
        <v>12680.7</v>
      </c>
      <c r="L53" s="68">
        <v>2705.5</v>
      </c>
      <c r="M53" s="66">
        <v>21700.6</v>
      </c>
      <c r="N53" s="68">
        <v>19665.5</v>
      </c>
      <c r="O53" s="60">
        <f t="shared" si="1"/>
        <v>145196.2</v>
      </c>
      <c r="P53" s="60">
        <f t="shared" si="16"/>
        <v>0</v>
      </c>
      <c r="Q53" s="60"/>
      <c r="U53" s="60">
        <f t="shared" si="2"/>
        <v>145196.2</v>
      </c>
      <c r="W53" s="60">
        <f t="shared" si="3"/>
        <v>17097.8</v>
      </c>
      <c r="X53" s="60">
        <f t="shared" si="4"/>
        <v>1408.3</v>
      </c>
      <c r="Y53" s="60">
        <f t="shared" si="5"/>
        <v>7390.6</v>
      </c>
      <c r="Z53" s="60">
        <f t="shared" si="6"/>
        <v>8077.9</v>
      </c>
      <c r="AA53" s="60">
        <f t="shared" si="7"/>
        <v>25966.7</v>
      </c>
      <c r="AB53" s="60">
        <f t="shared" si="8"/>
        <v>7647.6</v>
      </c>
      <c r="AC53" s="60">
        <f t="shared" si="9"/>
        <v>8174.1</v>
      </c>
      <c r="AD53" s="60">
        <f t="shared" si="10"/>
        <v>51176</v>
      </c>
      <c r="AE53" s="60">
        <f t="shared" si="11"/>
        <v>14089.2</v>
      </c>
      <c r="AF53" s="60">
        <f t="shared" si="12"/>
        <v>12680.7</v>
      </c>
      <c r="AG53" s="60">
        <f t="shared" si="13"/>
        <v>2705.5</v>
      </c>
      <c r="AH53" s="60">
        <f t="shared" si="14"/>
        <v>21700.6</v>
      </c>
      <c r="AI53" s="60">
        <f t="shared" si="15"/>
        <v>19665.5</v>
      </c>
    </row>
    <row r="54" spans="1:35" ht="15.75">
      <c r="A54" s="69">
        <v>2010</v>
      </c>
      <c r="B54" s="68">
        <v>17166</v>
      </c>
      <c r="C54" s="68">
        <v>1406.9</v>
      </c>
      <c r="D54" s="68">
        <v>7522.3</v>
      </c>
      <c r="E54" s="68">
        <v>8274</v>
      </c>
      <c r="F54" s="68">
        <v>26399.9</v>
      </c>
      <c r="G54" s="68">
        <v>7800</v>
      </c>
      <c r="H54" s="68">
        <v>8246.7</v>
      </c>
      <c r="I54" s="68">
        <v>52897.8</v>
      </c>
      <c r="J54" s="68">
        <v>14922.5</v>
      </c>
      <c r="K54" s="68">
        <v>12934</v>
      </c>
      <c r="L54" s="68">
        <v>2734.3</v>
      </c>
      <c r="M54" s="70">
        <v>22307</v>
      </c>
      <c r="N54" s="68">
        <v>19813.8</v>
      </c>
      <c r="O54" s="60">
        <f t="shared" si="1"/>
        <v>148120.5</v>
      </c>
      <c r="P54" s="60">
        <f t="shared" si="16"/>
        <v>0</v>
      </c>
      <c r="Q54" s="60"/>
      <c r="U54" s="60">
        <f t="shared" si="2"/>
        <v>148120.5</v>
      </c>
      <c r="W54" s="60">
        <f t="shared" si="3"/>
        <v>17166</v>
      </c>
      <c r="X54" s="60">
        <f t="shared" si="4"/>
        <v>1406.9</v>
      </c>
      <c r="Y54" s="60">
        <f t="shared" si="5"/>
        <v>7522.3</v>
      </c>
      <c r="Z54" s="60">
        <f t="shared" si="6"/>
        <v>8274</v>
      </c>
      <c r="AA54" s="60">
        <f t="shared" si="7"/>
        <v>26399.9</v>
      </c>
      <c r="AB54" s="60">
        <f t="shared" si="8"/>
        <v>7800</v>
      </c>
      <c r="AC54" s="60">
        <f t="shared" si="9"/>
        <v>8246.7</v>
      </c>
      <c r="AD54" s="60">
        <f t="shared" si="10"/>
        <v>52897.8</v>
      </c>
      <c r="AE54" s="60">
        <f t="shared" si="11"/>
        <v>14922.5</v>
      </c>
      <c r="AF54" s="60">
        <f t="shared" si="12"/>
        <v>12934</v>
      </c>
      <c r="AG54" s="60">
        <f t="shared" si="13"/>
        <v>2734.3</v>
      </c>
      <c r="AH54" s="60">
        <f t="shared" si="14"/>
        <v>22307</v>
      </c>
      <c r="AI54" s="60">
        <f t="shared" si="15"/>
        <v>19813.8</v>
      </c>
    </row>
    <row r="55" spans="1:36" ht="12.75">
      <c r="A55" s="62">
        <v>2011</v>
      </c>
      <c r="B55" s="68">
        <v>17189.8</v>
      </c>
      <c r="C55" s="68">
        <v>1409.1</v>
      </c>
      <c r="D55" s="71">
        <v>7594.6663603783245</v>
      </c>
      <c r="E55" s="71">
        <v>8401.088164900548</v>
      </c>
      <c r="F55" s="71">
        <v>26700.155874770957</v>
      </c>
      <c r="G55" s="71">
        <v>7915.053977414062</v>
      </c>
      <c r="H55" s="71">
        <v>8312.91611379084</v>
      </c>
      <c r="I55" s="71">
        <v>53845.61192854622</v>
      </c>
      <c r="J55" s="71">
        <v>15192.946239169018</v>
      </c>
      <c r="K55" s="71">
        <v>13186.820970205416</v>
      </c>
      <c r="L55" s="71">
        <v>2750.1634619708757</v>
      </c>
      <c r="M55" s="66">
        <v>22715.68125720091</v>
      </c>
      <c r="N55" s="71">
        <v>20006.266810593457</v>
      </c>
      <c r="O55" s="60">
        <f t="shared" si="1"/>
        <v>149965.5592303944</v>
      </c>
      <c r="P55" s="60">
        <f t="shared" si="16"/>
        <v>0</v>
      </c>
      <c r="Q55" s="60"/>
      <c r="U55" s="60">
        <f>(O55-O54)/(O$59-O$54)*(U$59-U$54)+U54</f>
        <v>149613.00210773628</v>
      </c>
      <c r="W55" s="60">
        <f aca="true" t="shared" si="17" ref="W55:W63">$U55/$O55*B55</f>
        <v>17149.388145050303</v>
      </c>
      <c r="X55" s="60">
        <f aca="true" t="shared" si="18" ref="X55:X74">$U55/$O55*C55</f>
        <v>1405.7873177809156</v>
      </c>
      <c r="Y55" s="60">
        <f aca="true" t="shared" si="19" ref="Y55:Y74">$U55/$O55*D55</f>
        <v>7576.81190277283</v>
      </c>
      <c r="Z55" s="60">
        <f aca="true" t="shared" si="20" ref="Z55:Z74">$U55/$O55*E55</f>
        <v>8381.337873661583</v>
      </c>
      <c r="AA55" s="60">
        <f aca="true" t="shared" si="21" ref="AA55:AA74">$U55/$O55*F55</f>
        <v>26637.385928270967</v>
      </c>
      <c r="AB55" s="60">
        <f aca="true" t="shared" si="22" ref="AB55:AB74">$U55/$O55*G55</f>
        <v>7896.446313959324</v>
      </c>
      <c r="AC55" s="60">
        <f aca="true" t="shared" si="23" ref="AC55:AC74">$U55/$O55*H55</f>
        <v>8293.373108043274</v>
      </c>
      <c r="AD55" s="60">
        <f aca="true" t="shared" si="24" ref="AD55:AD74">$U55/$O55*I55</f>
        <v>53719.025170181725</v>
      </c>
      <c r="AE55" s="60">
        <f aca="true" t="shared" si="25" ref="AE55:AE74">$U55/$O55*J55</f>
        <v>15157.22882886315</v>
      </c>
      <c r="AF55" s="60">
        <f aca="true" t="shared" si="26" ref="AF55:AF74">$U55/$O55*K55</f>
        <v>13155.819801122847</v>
      </c>
      <c r="AG55" s="60">
        <f aca="true" t="shared" si="27" ref="AG55:AG74">$U55/$O55*L55</f>
        <v>2743.698046031591</v>
      </c>
      <c r="AH55" s="60">
        <f aca="true" t="shared" si="28" ref="AH55:AH74">$U55/$O55*M55</f>
        <v>22662.27849416414</v>
      </c>
      <c r="AI55" s="60">
        <f aca="true" t="shared" si="29" ref="AI55:AI74">$U55/$O55*N55</f>
        <v>19959.233665796277</v>
      </c>
      <c r="AJ55" s="60">
        <f>SUM(W55:AI55)-X55-SUM(AE55:AH55)-U55</f>
        <v>0</v>
      </c>
    </row>
    <row r="56" spans="1:36" ht="12.75">
      <c r="A56" s="62">
        <v>2012</v>
      </c>
      <c r="B56" s="68">
        <v>17222.5</v>
      </c>
      <c r="C56" s="68">
        <v>1410.9</v>
      </c>
      <c r="D56" s="71">
        <v>7665.8879873261785</v>
      </c>
      <c r="E56" s="71">
        <v>8527.20375339868</v>
      </c>
      <c r="F56" s="71">
        <v>27005.88687041247</v>
      </c>
      <c r="G56" s="71">
        <v>8018.892999999998</v>
      </c>
      <c r="H56" s="71">
        <v>8382.021769801859</v>
      </c>
      <c r="I56" s="71">
        <v>54856.97879508</v>
      </c>
      <c r="J56" s="71">
        <v>15715.218306247678</v>
      </c>
      <c r="K56" s="71">
        <v>13451.214862986939</v>
      </c>
      <c r="L56" s="71">
        <v>2767.195442252195</v>
      </c>
      <c r="M56" s="66">
        <v>22923.350183593182</v>
      </c>
      <c r="N56" s="71">
        <v>20200.603200630536</v>
      </c>
      <c r="O56" s="60">
        <f t="shared" si="1"/>
        <v>151879.97537664973</v>
      </c>
      <c r="P56" s="60">
        <f t="shared" si="16"/>
        <v>0</v>
      </c>
      <c r="Q56" s="60"/>
      <c r="U56" s="60">
        <f>(O56-O55)/(O$59-O$54)*(U$59-U$54)+U55</f>
        <v>151161.6082913761</v>
      </c>
      <c r="W56" s="60">
        <f t="shared" si="17"/>
        <v>17141.040432368103</v>
      </c>
      <c r="X56" s="60">
        <f t="shared" si="18"/>
        <v>1404.2266770810368</v>
      </c>
      <c r="Y56" s="60">
        <f t="shared" si="19"/>
        <v>7629.629608986092</v>
      </c>
      <c r="Z56" s="60">
        <f t="shared" si="20"/>
        <v>8486.871494385125</v>
      </c>
      <c r="AA56" s="60">
        <f t="shared" si="21"/>
        <v>26878.15350603565</v>
      </c>
      <c r="AB56" s="60">
        <f t="shared" si="22"/>
        <v>7980.96496651668</v>
      </c>
      <c r="AC56" s="60">
        <f t="shared" si="23"/>
        <v>8342.376197483716</v>
      </c>
      <c r="AD56" s="60">
        <f t="shared" si="24"/>
        <v>54597.51438664688</v>
      </c>
      <c r="AE56" s="60">
        <f t="shared" si="25"/>
        <v>15640.8879309556</v>
      </c>
      <c r="AF56" s="60">
        <f t="shared" si="26"/>
        <v>13387.59284836289</v>
      </c>
      <c r="AG56" s="60">
        <f t="shared" si="27"/>
        <v>2754.1070669130268</v>
      </c>
      <c r="AH56" s="60">
        <f t="shared" si="28"/>
        <v>22814.926540415356</v>
      </c>
      <c r="AI56" s="60">
        <f t="shared" si="29"/>
        <v>20105.05769895384</v>
      </c>
      <c r="AJ56" s="60">
        <f aca="true" t="shared" si="30" ref="AJ56:AJ74">SUM(W56:AI56)-X56-SUM(AE56:AH56)-U56</f>
        <v>0</v>
      </c>
    </row>
    <row r="57" spans="1:36" ht="12.75">
      <c r="A57" s="62">
        <v>2013</v>
      </c>
      <c r="B57" s="68">
        <v>17255.5</v>
      </c>
      <c r="C57" s="68">
        <v>1413.1</v>
      </c>
      <c r="D57" s="71">
        <v>7739.635699157761</v>
      </c>
      <c r="E57" s="71">
        <v>8655.212565887568</v>
      </c>
      <c r="F57" s="71">
        <v>27301.16510382709</v>
      </c>
      <c r="G57" s="71">
        <v>8116.4749999999985</v>
      </c>
      <c r="H57" s="71">
        <v>8451.701904326474</v>
      </c>
      <c r="I57" s="71">
        <v>55858.624562664016</v>
      </c>
      <c r="J57" s="71">
        <v>16252.199813232242</v>
      </c>
      <c r="K57" s="71">
        <v>13721.436064437718</v>
      </c>
      <c r="L57" s="71">
        <v>2784.4500022273282</v>
      </c>
      <c r="M57" s="66">
        <v>23100.53868276672</v>
      </c>
      <c r="N57" s="71">
        <v>20396.827330786757</v>
      </c>
      <c r="O57" s="60">
        <f t="shared" si="1"/>
        <v>153775.14216664966</v>
      </c>
      <c r="P57" s="60">
        <f t="shared" si="16"/>
        <v>0</v>
      </c>
      <c r="Q57" s="60"/>
      <c r="U57" s="60">
        <f>(O57-O56)/(O$59-O$54)*(U$59-U$54)+U56</f>
        <v>152694.6433191904</v>
      </c>
      <c r="W57" s="60">
        <f t="shared" si="17"/>
        <v>17134.25447488042</v>
      </c>
      <c r="X57" s="60">
        <f t="shared" si="18"/>
        <v>1403.1708729653456</v>
      </c>
      <c r="Y57" s="60">
        <f t="shared" si="19"/>
        <v>7685.253259090616</v>
      </c>
      <c r="Z57" s="60">
        <f t="shared" si="20"/>
        <v>8594.396837999497</v>
      </c>
      <c r="AA57" s="60">
        <f t="shared" si="21"/>
        <v>27109.33385585457</v>
      </c>
      <c r="AB57" s="60">
        <f t="shared" si="22"/>
        <v>8059.444703949757</v>
      </c>
      <c r="AC57" s="60">
        <f t="shared" si="23"/>
        <v>8392.316141204905</v>
      </c>
      <c r="AD57" s="60">
        <f t="shared" si="24"/>
        <v>55466.13473231673</v>
      </c>
      <c r="AE57" s="60">
        <f t="shared" si="25"/>
        <v>16138.003962593102</v>
      </c>
      <c r="AF57" s="60">
        <f t="shared" si="26"/>
        <v>13625.022589254299</v>
      </c>
      <c r="AG57" s="60">
        <f t="shared" si="27"/>
        <v>2764.8851039230617</v>
      </c>
      <c r="AH57" s="60">
        <f t="shared" si="28"/>
        <v>22938.223076546255</v>
      </c>
      <c r="AI57" s="60">
        <f t="shared" si="29"/>
        <v>20253.509313893905</v>
      </c>
      <c r="AJ57" s="60">
        <f t="shared" si="30"/>
        <v>0</v>
      </c>
    </row>
    <row r="58" spans="1:36" ht="12.75">
      <c r="A58" s="62">
        <v>2014</v>
      </c>
      <c r="B58" s="68">
        <v>17288.9</v>
      </c>
      <c r="C58" s="68">
        <v>1415.3</v>
      </c>
      <c r="D58" s="71">
        <v>7814.092881961185</v>
      </c>
      <c r="E58" s="71">
        <v>8785.143023097125</v>
      </c>
      <c r="F58" s="71">
        <v>27598.089404260278</v>
      </c>
      <c r="G58" s="71">
        <v>8209.303999999998</v>
      </c>
      <c r="H58" s="71">
        <v>8521.961293031132</v>
      </c>
      <c r="I58" s="71">
        <v>56878.33121863202</v>
      </c>
      <c r="J58" s="71">
        <v>16803.484137161573</v>
      </c>
      <c r="K58" s="71">
        <v>13997.02953204962</v>
      </c>
      <c r="L58" s="71">
        <v>2801.92678285264</v>
      </c>
      <c r="M58" s="66">
        <v>23275.890766568173</v>
      </c>
      <c r="N58" s="71">
        <v>20594.957538146376</v>
      </c>
      <c r="O58" s="60">
        <f t="shared" si="1"/>
        <v>155690.77935912812</v>
      </c>
      <c r="P58" s="60">
        <f t="shared" si="16"/>
        <v>0</v>
      </c>
      <c r="Q58" s="60"/>
      <c r="U58" s="60">
        <f>(O58-O57)/(O$59-O$54)*(U$59-U$54)+U57</f>
        <v>154244.23722942002</v>
      </c>
      <c r="W58" s="60">
        <f t="shared" si="17"/>
        <v>17128.26670926014</v>
      </c>
      <c r="X58" s="60">
        <f t="shared" si="18"/>
        <v>1402.1502740842895</v>
      </c>
      <c r="Y58" s="60">
        <f t="shared" si="19"/>
        <v>7741.491186435365</v>
      </c>
      <c r="Z58" s="60">
        <f t="shared" si="20"/>
        <v>8703.5191815907</v>
      </c>
      <c r="AA58" s="60">
        <f t="shared" si="21"/>
        <v>27341.672170130907</v>
      </c>
      <c r="AB58" s="60">
        <f t="shared" si="22"/>
        <v>8133.030349495692</v>
      </c>
      <c r="AC58" s="60">
        <f t="shared" si="23"/>
        <v>8442.782705263413</v>
      </c>
      <c r="AD58" s="60">
        <f t="shared" si="24"/>
        <v>56349.86766598027</v>
      </c>
      <c r="AE58" s="60">
        <f t="shared" si="25"/>
        <v>16647.360904749603</v>
      </c>
      <c r="AF58" s="60">
        <f t="shared" si="26"/>
        <v>13866.981413643234</v>
      </c>
      <c r="AG58" s="60">
        <f t="shared" si="27"/>
        <v>2775.893737399096</v>
      </c>
      <c r="AH58" s="60">
        <f t="shared" si="28"/>
        <v>23059.63161018833</v>
      </c>
      <c r="AI58" s="60">
        <f t="shared" si="29"/>
        <v>20403.60726126351</v>
      </c>
      <c r="AJ58" s="60">
        <f t="shared" si="30"/>
        <v>0</v>
      </c>
    </row>
    <row r="59" spans="1:36" ht="12.75">
      <c r="A59" s="62">
        <v>2015</v>
      </c>
      <c r="B59" s="68">
        <v>17322.6</v>
      </c>
      <c r="C59" s="68">
        <v>1417.5</v>
      </c>
      <c r="D59" s="71">
        <v>7889.266361020211</v>
      </c>
      <c r="E59" s="71">
        <v>8890.8864</v>
      </c>
      <c r="F59" s="71">
        <v>27896.790272255126</v>
      </c>
      <c r="G59" s="71">
        <v>8298.834999999997</v>
      </c>
      <c r="H59" s="71">
        <v>8592.804751282614</v>
      </c>
      <c r="I59" s="71">
        <v>57916.367231184006</v>
      </c>
      <c r="J59" s="71">
        <v>17369.394324856996</v>
      </c>
      <c r="K59" s="71">
        <v>14278.087872577</v>
      </c>
      <c r="L59" s="71">
        <v>2819.626323290894</v>
      </c>
      <c r="M59" s="66">
        <v>23449.25871045911</v>
      </c>
      <c r="N59" s="71">
        <v>20795.012337915967</v>
      </c>
      <c r="O59" s="60">
        <f t="shared" si="1"/>
        <v>157602.56235365794</v>
      </c>
      <c r="P59" s="60">
        <f t="shared" si="16"/>
        <v>0</v>
      </c>
      <c r="Q59" s="60"/>
      <c r="U59" s="73">
        <f>U54*(1+S95)</f>
        <v>155790.71340853986</v>
      </c>
      <c r="W59" s="60">
        <f t="shared" si="17"/>
        <v>17123.453907017876</v>
      </c>
      <c r="X59" s="60">
        <f t="shared" si="18"/>
        <v>1401.2039712974865</v>
      </c>
      <c r="Y59" s="60">
        <f t="shared" si="19"/>
        <v>7798.5688576262355</v>
      </c>
      <c r="Z59" s="60">
        <f t="shared" si="20"/>
        <v>8788.673955580114</v>
      </c>
      <c r="AA59" s="60">
        <f t="shared" si="21"/>
        <v>27576.079940696276</v>
      </c>
      <c r="AB59" s="60">
        <f t="shared" si="22"/>
        <v>8203.428965885412</v>
      </c>
      <c r="AC59" s="60">
        <f t="shared" si="23"/>
        <v>8494.019147852634</v>
      </c>
      <c r="AD59" s="60">
        <f t="shared" si="24"/>
        <v>57250.54234035883</v>
      </c>
      <c r="AE59" s="60">
        <f t="shared" si="25"/>
        <v>17169.71026950381</v>
      </c>
      <c r="AF59" s="60">
        <f t="shared" si="26"/>
        <v>14113.94245473677</v>
      </c>
      <c r="AG59" s="60">
        <f t="shared" si="27"/>
        <v>2787.211006539775</v>
      </c>
      <c r="AH59" s="60">
        <f t="shared" si="28"/>
        <v>23179.67860957847</v>
      </c>
      <c r="AI59" s="60">
        <f t="shared" si="29"/>
        <v>20555.94629352246</v>
      </c>
      <c r="AJ59" s="60">
        <f t="shared" si="30"/>
        <v>0</v>
      </c>
    </row>
    <row r="60" spans="1:36" ht="12.75">
      <c r="A60" s="62">
        <v>2016</v>
      </c>
      <c r="B60" s="68">
        <v>17356.9</v>
      </c>
      <c r="C60" s="68">
        <v>1419.8</v>
      </c>
      <c r="D60" s="71">
        <v>7958.373318089164</v>
      </c>
      <c r="E60" s="71">
        <v>8978.391399999999</v>
      </c>
      <c r="F60" s="71">
        <v>28197.143186479232</v>
      </c>
      <c r="G60" s="71">
        <v>8386.134999999998</v>
      </c>
      <c r="H60" s="71">
        <v>8660.917733292332</v>
      </c>
      <c r="I60" s="71">
        <v>58973.065500888006</v>
      </c>
      <c r="J60" s="71">
        <v>17950.277841984578</v>
      </c>
      <c r="K60" s="71">
        <v>14564.720173478026</v>
      </c>
      <c r="L60" s="71">
        <v>2836.9798126605483</v>
      </c>
      <c r="M60" s="66">
        <v>23621.087672764847</v>
      </c>
      <c r="N60" s="71">
        <v>20994.231416035185</v>
      </c>
      <c r="O60" s="60">
        <f t="shared" si="1"/>
        <v>159505.15755478392</v>
      </c>
      <c r="P60" s="60">
        <f t="shared" si="16"/>
        <v>0</v>
      </c>
      <c r="Q60" s="60"/>
      <c r="U60" s="60">
        <f>(O60-O59)/(O$64-O$59)*(U$64-U$59)+U59</f>
        <v>157039.0926345171</v>
      </c>
      <c r="W60" s="60">
        <f t="shared" si="17"/>
        <v>17088.54979195185</v>
      </c>
      <c r="X60" s="60">
        <f t="shared" si="18"/>
        <v>1397.8488667108318</v>
      </c>
      <c r="Y60" s="60">
        <f t="shared" si="19"/>
        <v>7835.331119560966</v>
      </c>
      <c r="Z60" s="60">
        <f t="shared" si="20"/>
        <v>8839.57898533334</v>
      </c>
      <c r="AA60" s="60">
        <f t="shared" si="21"/>
        <v>27761.194990634627</v>
      </c>
      <c r="AB60" s="60">
        <f t="shared" si="22"/>
        <v>8256.479296967205</v>
      </c>
      <c r="AC60" s="60">
        <f t="shared" si="23"/>
        <v>8527.013690772244</v>
      </c>
      <c r="AD60" s="60">
        <f t="shared" si="24"/>
        <v>58061.2993216509</v>
      </c>
      <c r="AE60" s="60">
        <f t="shared" si="25"/>
        <v>17672.753583999645</v>
      </c>
      <c r="AF60" s="60">
        <f t="shared" si="26"/>
        <v>14339.539081882413</v>
      </c>
      <c r="AG60" s="60">
        <f t="shared" si="27"/>
        <v>2793.118056070612</v>
      </c>
      <c r="AH60" s="60">
        <f t="shared" si="28"/>
        <v>23255.888599698224</v>
      </c>
      <c r="AI60" s="60">
        <f t="shared" si="29"/>
        <v>20669.64543764595</v>
      </c>
      <c r="AJ60" s="60">
        <f t="shared" si="30"/>
        <v>0</v>
      </c>
    </row>
    <row r="61" spans="1:36" ht="12.75">
      <c r="A61" s="62">
        <v>2017</v>
      </c>
      <c r="B61" s="68">
        <v>17391.4</v>
      </c>
      <c r="C61" s="68">
        <v>1422.2</v>
      </c>
      <c r="D61" s="71">
        <v>8028.085625680813</v>
      </c>
      <c r="E61" s="71">
        <v>9065.234199999999</v>
      </c>
      <c r="F61" s="71">
        <v>28499.14545771222</v>
      </c>
      <c r="G61" s="71">
        <v>8471.785999999996</v>
      </c>
      <c r="H61" s="71">
        <v>8729.570629620197</v>
      </c>
      <c r="I61" s="71">
        <v>60048.73084240801</v>
      </c>
      <c r="J61" s="71">
        <v>18546.47944018373</v>
      </c>
      <c r="K61" s="71">
        <v>14857.029257777123</v>
      </c>
      <c r="L61" s="71">
        <v>2854.549625474524</v>
      </c>
      <c r="M61" s="66">
        <v>23790.67251897263</v>
      </c>
      <c r="N61" s="71">
        <v>21195.35904032123</v>
      </c>
      <c r="O61" s="60">
        <f t="shared" si="1"/>
        <v>161429.31179574245</v>
      </c>
      <c r="P61" s="60">
        <f t="shared" si="16"/>
        <v>0</v>
      </c>
      <c r="Q61" s="60"/>
      <c r="U61" s="60">
        <f>(O61-O60)/(O$64-O$59)*(U$64-U$59)+U60</f>
        <v>158301.61772685783</v>
      </c>
      <c r="W61" s="60">
        <f t="shared" si="17"/>
        <v>17054.44150079989</v>
      </c>
      <c r="X61" s="60">
        <f t="shared" si="18"/>
        <v>1394.6448648434057</v>
      </c>
      <c r="Y61" s="60">
        <f t="shared" si="19"/>
        <v>7872.541409350939</v>
      </c>
      <c r="Z61" s="60">
        <f t="shared" si="20"/>
        <v>8889.595222635928</v>
      </c>
      <c r="AA61" s="60">
        <f t="shared" si="21"/>
        <v>27946.97431094334</v>
      </c>
      <c r="AB61" s="60">
        <f t="shared" si="22"/>
        <v>8307.645085749016</v>
      </c>
      <c r="AC61" s="60">
        <f t="shared" si="23"/>
        <v>8560.435136329364</v>
      </c>
      <c r="AD61" s="60">
        <f t="shared" si="24"/>
        <v>58885.28625350032</v>
      </c>
      <c r="AE61" s="60">
        <f t="shared" si="25"/>
        <v>18187.1412685811</v>
      </c>
      <c r="AF61" s="60">
        <f t="shared" si="26"/>
        <v>14569.174209806708</v>
      </c>
      <c r="AG61" s="60">
        <f t="shared" si="27"/>
        <v>2799.242706095283</v>
      </c>
      <c r="AH61" s="60">
        <f t="shared" si="28"/>
        <v>23329.728069017234</v>
      </c>
      <c r="AI61" s="60">
        <f t="shared" si="29"/>
        <v>20784.698807549048</v>
      </c>
      <c r="AJ61" s="60">
        <f t="shared" si="30"/>
        <v>0</v>
      </c>
    </row>
    <row r="62" spans="1:36" ht="12.75">
      <c r="A62" s="62">
        <v>2018</v>
      </c>
      <c r="B62" s="68">
        <v>17426.4</v>
      </c>
      <c r="C62" s="68">
        <v>1424.5</v>
      </c>
      <c r="D62" s="71">
        <v>8098.408586434297</v>
      </c>
      <c r="E62" s="71">
        <v>9151.603999999998</v>
      </c>
      <c r="F62" s="71">
        <v>28802.820523572438</v>
      </c>
      <c r="G62" s="71">
        <v>8556.272999999997</v>
      </c>
      <c r="H62" s="71">
        <v>8798.767720029953</v>
      </c>
      <c r="I62" s="71">
        <v>61143.71350348801</v>
      </c>
      <c r="J62" s="71">
        <v>19158.363564426243</v>
      </c>
      <c r="K62" s="71">
        <v>15155.129847035516</v>
      </c>
      <c r="L62" s="71">
        <v>2872.3359426056104</v>
      </c>
      <c r="M62" s="66">
        <v>23957.884149420635</v>
      </c>
      <c r="N62" s="71">
        <v>21398.413494908862</v>
      </c>
      <c r="O62" s="60">
        <f t="shared" si="1"/>
        <v>163376.40082843354</v>
      </c>
      <c r="P62" s="60">
        <f t="shared" si="16"/>
        <v>0</v>
      </c>
      <c r="Q62" s="60"/>
      <c r="U62" s="60">
        <f>(O62-O61)/(O$64-O$59)*(U$64-U$59)+U61</f>
        <v>159579.19137894164</v>
      </c>
      <c r="W62" s="60">
        <f t="shared" si="17"/>
        <v>17021.373996151902</v>
      </c>
      <c r="X62" s="60">
        <f t="shared" si="18"/>
        <v>1391.3916389798458</v>
      </c>
      <c r="Y62" s="60">
        <f t="shared" si="19"/>
        <v>7910.184623522128</v>
      </c>
      <c r="Z62" s="60">
        <f t="shared" si="20"/>
        <v>8938.901571677437</v>
      </c>
      <c r="AA62" s="60">
        <f t="shared" si="21"/>
        <v>28133.382699568825</v>
      </c>
      <c r="AB62" s="60">
        <f t="shared" si="22"/>
        <v>8357.407309953667</v>
      </c>
      <c r="AC62" s="60">
        <f t="shared" si="23"/>
        <v>8594.265945226702</v>
      </c>
      <c r="AD62" s="60">
        <f t="shared" si="24"/>
        <v>59722.60564754813</v>
      </c>
      <c r="AE62" s="60">
        <f t="shared" si="25"/>
        <v>18713.083102898414</v>
      </c>
      <c r="AF62" s="60">
        <f t="shared" si="26"/>
        <v>14802.892914579941</v>
      </c>
      <c r="AG62" s="60">
        <f t="shared" si="27"/>
        <v>2805.576844424528</v>
      </c>
      <c r="AH62" s="60">
        <f t="shared" si="28"/>
        <v>23401.052785645243</v>
      </c>
      <c r="AI62" s="60">
        <f t="shared" si="29"/>
        <v>20901.06958529287</v>
      </c>
      <c r="AJ62" s="60">
        <f t="shared" si="30"/>
        <v>0</v>
      </c>
    </row>
    <row r="63" spans="1:36" ht="12.75">
      <c r="A63" s="62">
        <v>2019</v>
      </c>
      <c r="B63" s="68">
        <v>17461.8</v>
      </c>
      <c r="C63" s="68">
        <v>1426.9</v>
      </c>
      <c r="D63" s="71">
        <v>8169.347549437846</v>
      </c>
      <c r="E63" s="71">
        <v>9237.216999999997</v>
      </c>
      <c r="F63" s="71">
        <v>29108.128246121345</v>
      </c>
      <c r="G63" s="71">
        <v>8639.886999999999</v>
      </c>
      <c r="H63" s="71">
        <v>8868.513318209945</v>
      </c>
      <c r="I63" s="71">
        <v>62258.361253704024</v>
      </c>
      <c r="J63" s="71">
        <v>19786.30014320098</v>
      </c>
      <c r="K63" s="71">
        <v>15459.136768585662</v>
      </c>
      <c r="L63" s="71">
        <v>2890.3390356289765</v>
      </c>
      <c r="M63" s="66">
        <v>24122.585306288383</v>
      </c>
      <c r="N63" s="71">
        <v>21603.413239097365</v>
      </c>
      <c r="O63" s="60">
        <f t="shared" si="1"/>
        <v>165346.66760657053</v>
      </c>
      <c r="P63" s="60">
        <f t="shared" si="16"/>
        <v>0</v>
      </c>
      <c r="Q63" s="60"/>
      <c r="U63" s="60">
        <f>(O63-O62)/(O$64-O$59)*(U$64-U$59)+U62</f>
        <v>160871.9730037474</v>
      </c>
      <c r="W63" s="60">
        <f t="shared" si="17"/>
        <v>16989.239994124975</v>
      </c>
      <c r="X63" s="60">
        <f t="shared" si="18"/>
        <v>1388.2845152055877</v>
      </c>
      <c r="Y63" s="60">
        <f t="shared" si="19"/>
        <v>7948.264561088567</v>
      </c>
      <c r="Z63" s="60">
        <f t="shared" si="20"/>
        <v>8987.234791992296</v>
      </c>
      <c r="AA63" s="60">
        <f t="shared" si="21"/>
        <v>28320.38945315624</v>
      </c>
      <c r="AB63" s="60">
        <f t="shared" si="22"/>
        <v>8406.070036601062</v>
      </c>
      <c r="AC63" s="60">
        <f t="shared" si="23"/>
        <v>8628.509154506546</v>
      </c>
      <c r="AD63" s="60">
        <f t="shared" si="24"/>
        <v>60573.4941976262</v>
      </c>
      <c r="AE63" s="60">
        <f t="shared" si="25"/>
        <v>19250.833346426534</v>
      </c>
      <c r="AF63" s="60">
        <f t="shared" si="26"/>
        <v>15040.773841385395</v>
      </c>
      <c r="AG63" s="60">
        <f t="shared" si="27"/>
        <v>2812.1192282976795</v>
      </c>
      <c r="AH63" s="60">
        <f t="shared" si="28"/>
        <v>23469.767781516573</v>
      </c>
      <c r="AI63" s="60">
        <f t="shared" si="29"/>
        <v>21018.77081465152</v>
      </c>
      <c r="AJ63" s="60">
        <f t="shared" si="30"/>
        <v>0</v>
      </c>
    </row>
    <row r="64" spans="1:36" ht="12.75">
      <c r="A64" s="62">
        <v>2020</v>
      </c>
      <c r="B64" s="68">
        <v>17497.5</v>
      </c>
      <c r="C64" s="68">
        <v>1429.3</v>
      </c>
      <c r="D64" s="71">
        <v>8240.907910635658</v>
      </c>
      <c r="E64" s="71">
        <v>9322.167799999997</v>
      </c>
      <c r="F64" s="71">
        <v>29415.040658146052</v>
      </c>
      <c r="G64" s="71">
        <v>8722.724999999999</v>
      </c>
      <c r="H64" s="71">
        <v>8938.811772042032</v>
      </c>
      <c r="I64" s="71">
        <v>63393.01525418402</v>
      </c>
      <c r="J64" s="71">
        <v>20430.663201919873</v>
      </c>
      <c r="K64" s="71">
        <v>15769.163925674877</v>
      </c>
      <c r="L64" s="71">
        <v>2908.5592777649376</v>
      </c>
      <c r="M64" s="66">
        <v>24284.628848824315</v>
      </c>
      <c r="N64" s="71">
        <v>21810.37690902865</v>
      </c>
      <c r="O64" s="60">
        <f t="shared" si="1"/>
        <v>167340.54530403638</v>
      </c>
      <c r="P64" s="60">
        <f t="shared" si="16"/>
        <v>0</v>
      </c>
      <c r="Q64" s="60"/>
      <c r="U64" s="123">
        <f>U59*(1+S96)</f>
        <v>162180.24682635695</v>
      </c>
      <c r="W64" s="60">
        <f>$U64/$O64*B64</f>
        <v>16957.9277017913</v>
      </c>
      <c r="X64" s="60">
        <f t="shared" si="18"/>
        <v>1385.224521455654</v>
      </c>
      <c r="Y64" s="60">
        <f t="shared" si="19"/>
        <v>7986.782142916389</v>
      </c>
      <c r="Z64" s="60">
        <f t="shared" si="20"/>
        <v>9034.699104235853</v>
      </c>
      <c r="AA64" s="60">
        <f t="shared" si="21"/>
        <v>28507.96587090112</v>
      </c>
      <c r="AB64" s="60">
        <f t="shared" si="22"/>
        <v>8453.741386632804</v>
      </c>
      <c r="AC64" s="60">
        <f t="shared" si="23"/>
        <v>8663.16466753592</v>
      </c>
      <c r="AD64" s="60">
        <f t="shared" si="24"/>
        <v>61438.1579927993</v>
      </c>
      <c r="AE64" s="60">
        <f t="shared" si="25"/>
        <v>19800.640633107883</v>
      </c>
      <c r="AF64" s="60">
        <f t="shared" si="26"/>
        <v>15282.88851374711</v>
      </c>
      <c r="AG64" s="60">
        <f t="shared" si="27"/>
        <v>2818.8677210294118</v>
      </c>
      <c r="AH64" s="60">
        <f t="shared" si="28"/>
        <v>23535.761124914876</v>
      </c>
      <c r="AI64" s="60">
        <f t="shared" si="29"/>
        <v>21137.807959544294</v>
      </c>
      <c r="AJ64" s="60">
        <f t="shared" si="30"/>
        <v>0</v>
      </c>
    </row>
    <row r="65" spans="1:36" ht="12.75">
      <c r="A65" s="62">
        <v>2021</v>
      </c>
      <c r="B65" s="68">
        <v>17533.7</v>
      </c>
      <c r="C65" s="68">
        <v>1431.7</v>
      </c>
      <c r="D65" s="71">
        <v>8306.00479324584</v>
      </c>
      <c r="E65" s="71">
        <v>9406.456399999997</v>
      </c>
      <c r="F65" s="71">
        <v>29723.565500861285</v>
      </c>
      <c r="G65" s="71">
        <v>8805.077999999998</v>
      </c>
      <c r="H65" s="71">
        <v>9006.225808945825</v>
      </c>
      <c r="I65" s="71">
        <v>64548.05053435201</v>
      </c>
      <c r="J65" s="71">
        <v>21091.843941272542</v>
      </c>
      <c r="K65" s="71">
        <v>16085.334372555622</v>
      </c>
      <c r="L65" s="71">
        <v>2926.4734189030933</v>
      </c>
      <c r="M65" s="66">
        <v>24444.398801620726</v>
      </c>
      <c r="N65" s="71">
        <v>22016.429997763153</v>
      </c>
      <c r="O65" s="60">
        <f t="shared" si="1"/>
        <v>169345.5110351681</v>
      </c>
      <c r="P65" s="60">
        <f t="shared" si="16"/>
        <v>2.9103830456733704E-11</v>
      </c>
      <c r="Q65" s="60"/>
      <c r="U65" s="60">
        <f>(O65-O64)/(O$69-O$64)*(U$69-U$64)+U64</f>
        <v>163368.68629589299</v>
      </c>
      <c r="W65" s="60">
        <f aca="true" t="shared" si="31" ref="W65:W74">$U65/$O65*B65</f>
        <v>16914.87136208432</v>
      </c>
      <c r="X65" s="60">
        <f t="shared" si="18"/>
        <v>1381.1700513352068</v>
      </c>
      <c r="Y65" s="60">
        <f t="shared" si="19"/>
        <v>8012.855393363016</v>
      </c>
      <c r="Z65" s="60">
        <f t="shared" si="20"/>
        <v>9074.468023238374</v>
      </c>
      <c r="AA65" s="60">
        <f t="shared" si="21"/>
        <v>28674.511761325673</v>
      </c>
      <c r="AB65" s="60">
        <f t="shared" si="22"/>
        <v>8494.314474589995</v>
      </c>
      <c r="AC65" s="60">
        <f t="shared" si="23"/>
        <v>8688.363038959398</v>
      </c>
      <c r="AD65" s="60">
        <f t="shared" si="24"/>
        <v>62269.91287987602</v>
      </c>
      <c r="AE65" s="60">
        <f t="shared" si="25"/>
        <v>20347.435341986147</v>
      </c>
      <c r="AF65" s="60">
        <f t="shared" si="26"/>
        <v>15517.62387447553</v>
      </c>
      <c r="AG65" s="60">
        <f t="shared" si="27"/>
        <v>2823.1874290825617</v>
      </c>
      <c r="AH65" s="60">
        <f t="shared" si="28"/>
        <v>23581.66623433175</v>
      </c>
      <c r="AI65" s="60">
        <f t="shared" si="29"/>
        <v>21239.389362456186</v>
      </c>
      <c r="AJ65" s="60">
        <f t="shared" si="30"/>
        <v>0</v>
      </c>
    </row>
    <row r="66" spans="1:36" ht="12.75">
      <c r="A66" s="62">
        <v>2022</v>
      </c>
      <c r="B66" s="68">
        <v>17570.2</v>
      </c>
      <c r="C66" s="68">
        <v>1434.2</v>
      </c>
      <c r="D66" s="71">
        <v>8371.61589154336</v>
      </c>
      <c r="E66" s="71">
        <v>9489.988199999998</v>
      </c>
      <c r="F66" s="71">
        <v>30033.685245733952</v>
      </c>
      <c r="G66" s="71">
        <v>8886.945999999998</v>
      </c>
      <c r="H66" s="71">
        <v>9074.148263801304</v>
      </c>
      <c r="I66" s="71">
        <v>65723.78760393601</v>
      </c>
      <c r="J66" s="71">
        <v>21770.222217760896</v>
      </c>
      <c r="K66" s="71">
        <v>16407.758327541284</v>
      </c>
      <c r="L66" s="71">
        <v>2944.599016541071</v>
      </c>
      <c r="M66" s="66">
        <v>24601.208042092738</v>
      </c>
      <c r="N66" s="71">
        <v>22224.429768829377</v>
      </c>
      <c r="O66" s="60">
        <f t="shared" si="1"/>
        <v>171374.800973844</v>
      </c>
      <c r="P66" s="60">
        <f t="shared" si="16"/>
        <v>2.9103830456733704E-11</v>
      </c>
      <c r="Q66" s="60"/>
      <c r="U66" s="60">
        <f>(O66-O65)/(O$69-O$64)*(U$69-U$64)+U65</f>
        <v>164571.54389131608</v>
      </c>
      <c r="W66" s="60">
        <f t="shared" si="31"/>
        <v>16872.69612596384</v>
      </c>
      <c r="X66" s="60">
        <f t="shared" si="18"/>
        <v>1377.2649590703202</v>
      </c>
      <c r="Y66" s="60">
        <f t="shared" si="19"/>
        <v>8039.27849548104</v>
      </c>
      <c r="Z66" s="60">
        <f t="shared" si="20"/>
        <v>9113.253527995272</v>
      </c>
      <c r="AA66" s="60">
        <f t="shared" si="21"/>
        <v>28841.404462903814</v>
      </c>
      <c r="AB66" s="60">
        <f t="shared" si="22"/>
        <v>8534.150968449409</v>
      </c>
      <c r="AC66" s="60">
        <f t="shared" si="23"/>
        <v>8713.921654680184</v>
      </c>
      <c r="AD66" s="60">
        <f t="shared" si="24"/>
        <v>63114.67692391671</v>
      </c>
      <c r="AE66" s="60">
        <f t="shared" si="25"/>
        <v>20905.985365845932</v>
      </c>
      <c r="AF66" s="60">
        <f t="shared" si="26"/>
        <v>15756.40120026276</v>
      </c>
      <c r="AG66" s="60">
        <f t="shared" si="27"/>
        <v>2827.7039771265813</v>
      </c>
      <c r="AH66" s="60">
        <f t="shared" si="28"/>
        <v>23624.586380681416</v>
      </c>
      <c r="AI66" s="60">
        <f t="shared" si="29"/>
        <v>21342.16173192581</v>
      </c>
      <c r="AJ66" s="60">
        <f t="shared" si="30"/>
        <v>0</v>
      </c>
    </row>
    <row r="67" spans="1:36" ht="12.75">
      <c r="A67" s="62">
        <v>2023</v>
      </c>
      <c r="B67" s="68">
        <v>17607.3</v>
      </c>
      <c r="C67" s="68">
        <v>1436.7</v>
      </c>
      <c r="D67" s="71">
        <v>8437.745267439675</v>
      </c>
      <c r="E67" s="71">
        <v>9572.763199999998</v>
      </c>
      <c r="F67" s="71">
        <v>30345.381480713368</v>
      </c>
      <c r="G67" s="71">
        <v>8968.328999999998</v>
      </c>
      <c r="H67" s="71">
        <v>9142.582970955524</v>
      </c>
      <c r="I67" s="71">
        <v>66920.58744940802</v>
      </c>
      <c r="J67" s="71">
        <v>22466.1972151584</v>
      </c>
      <c r="K67" s="71">
        <v>16736.556812248095</v>
      </c>
      <c r="L67" s="71">
        <v>2962.936431241683</v>
      </c>
      <c r="M67" s="66">
        <v>24754.896990759815</v>
      </c>
      <c r="N67" s="71">
        <v>22434.394613468747</v>
      </c>
      <c r="O67" s="60">
        <f aca="true" t="shared" si="32" ref="O67:O74">B67+D67+E67+F67+G67+H67+I67+N67</f>
        <v>173429.08398198534</v>
      </c>
      <c r="P67" s="60">
        <f t="shared" si="16"/>
        <v>0</v>
      </c>
      <c r="Q67" s="60"/>
      <c r="U67" s="60">
        <f>(O67-O66)/(O$69-O$64)*(U$69-U$64)+U66</f>
        <v>165789.21607920647</v>
      </c>
      <c r="W67" s="60">
        <f t="shared" si="31"/>
        <v>16831.666276774136</v>
      </c>
      <c r="X67" s="60">
        <f t="shared" si="18"/>
        <v>1373.4107409904643</v>
      </c>
      <c r="Y67" s="60">
        <f t="shared" si="19"/>
        <v>8066.04717758969</v>
      </c>
      <c r="Z67" s="60">
        <f t="shared" si="20"/>
        <v>9151.065497207659</v>
      </c>
      <c r="AA67" s="60">
        <f t="shared" si="21"/>
        <v>29008.612003246926</v>
      </c>
      <c r="AB67" s="60">
        <f t="shared" si="22"/>
        <v>8573.257727664974</v>
      </c>
      <c r="AC67" s="60">
        <f t="shared" si="23"/>
        <v>8739.83549293995</v>
      </c>
      <c r="AD67" s="60">
        <f t="shared" si="24"/>
        <v>63972.61334753855</v>
      </c>
      <c r="AE67" s="60">
        <f t="shared" si="25"/>
        <v>21476.520195245077</v>
      </c>
      <c r="AF67" s="60">
        <f t="shared" si="26"/>
        <v>15999.280916780579</v>
      </c>
      <c r="AG67" s="60">
        <f t="shared" si="27"/>
        <v>2832.41366989579</v>
      </c>
      <c r="AH67" s="60">
        <f t="shared" si="28"/>
        <v>23664.398565617073</v>
      </c>
      <c r="AI67" s="60">
        <f t="shared" si="29"/>
        <v>21446.118556244583</v>
      </c>
      <c r="AJ67" s="60">
        <f t="shared" si="30"/>
        <v>0</v>
      </c>
    </row>
    <row r="68" spans="1:36" ht="12.75">
      <c r="A68" s="62">
        <v>2024</v>
      </c>
      <c r="B68" s="68">
        <v>17644.6</v>
      </c>
      <c r="C68" s="68">
        <v>1439.2</v>
      </c>
      <c r="D68" s="71">
        <v>8504.397014932236</v>
      </c>
      <c r="E68" s="71">
        <v>9654.781399999996</v>
      </c>
      <c r="F68" s="71">
        <v>30658.614857510976</v>
      </c>
      <c r="G68" s="71">
        <v>9049.226999999999</v>
      </c>
      <c r="H68" s="71">
        <v>9211.533793673114</v>
      </c>
      <c r="I68" s="71">
        <v>68138.90440156803</v>
      </c>
      <c r="J68" s="71">
        <v>23180.206335466755</v>
      </c>
      <c r="K68" s="71">
        <v>17071.874991160672</v>
      </c>
      <c r="L68" s="71">
        <v>2981.4857193012726</v>
      </c>
      <c r="M68" s="66">
        <v>24905.337355639305</v>
      </c>
      <c r="N68" s="71">
        <v>22646.343096673558</v>
      </c>
      <c r="O68" s="60">
        <f t="shared" si="32"/>
        <v>175508.4015643579</v>
      </c>
      <c r="P68" s="60">
        <f t="shared" si="16"/>
        <v>0</v>
      </c>
      <c r="Q68" s="60"/>
      <c r="U68" s="60">
        <f>(O68-O67)/(O$69-O$64)*(U$69-U$64)+U67</f>
        <v>167021.7274614319</v>
      </c>
      <c r="W68" s="60">
        <f t="shared" si="31"/>
        <v>16791.398850985046</v>
      </c>
      <c r="X68" s="60">
        <f t="shared" si="18"/>
        <v>1369.6077681748343</v>
      </c>
      <c r="Y68" s="60">
        <f t="shared" si="19"/>
        <v>8093.168576496708</v>
      </c>
      <c r="Z68" s="60">
        <f t="shared" si="20"/>
        <v>9187.926351771746</v>
      </c>
      <c r="AA68" s="60">
        <f t="shared" si="21"/>
        <v>29176.12358972167</v>
      </c>
      <c r="AB68" s="60">
        <f t="shared" si="22"/>
        <v>8611.653415215014</v>
      </c>
      <c r="AC68" s="60">
        <f t="shared" si="23"/>
        <v>8766.111895928083</v>
      </c>
      <c r="AD68" s="60">
        <f t="shared" si="24"/>
        <v>64844.06113348386</v>
      </c>
      <c r="AE68" s="60">
        <f t="shared" si="25"/>
        <v>22059.33203512422</v>
      </c>
      <c r="AF68" s="60">
        <f t="shared" si="26"/>
        <v>16246.367846861685</v>
      </c>
      <c r="AG68" s="60">
        <f t="shared" si="27"/>
        <v>2837.3165660487466</v>
      </c>
      <c r="AH68" s="60">
        <f t="shared" si="28"/>
        <v>23701.044685449193</v>
      </c>
      <c r="AI68" s="60">
        <f t="shared" si="29"/>
        <v>21551.28364782979</v>
      </c>
      <c r="AJ68" s="60">
        <f t="shared" si="30"/>
        <v>0</v>
      </c>
    </row>
    <row r="69" spans="1:36" ht="12.75">
      <c r="A69" s="62">
        <v>2025</v>
      </c>
      <c r="B69" s="68">
        <v>17682.3</v>
      </c>
      <c r="C69" s="68">
        <v>1441.8</v>
      </c>
      <c r="D69" s="71">
        <v>8571.575260357955</v>
      </c>
      <c r="E69" s="71">
        <v>9735.758999999998</v>
      </c>
      <c r="F69" s="71">
        <v>30973.37303266259</v>
      </c>
      <c r="G69" s="71">
        <v>9129.64</v>
      </c>
      <c r="H69" s="71">
        <v>9281.004624354377</v>
      </c>
      <c r="I69" s="71">
        <v>69379.04740536002</v>
      </c>
      <c r="J69" s="71">
        <v>23912.645005714086</v>
      </c>
      <c r="K69" s="71">
        <v>17413.822464807803</v>
      </c>
      <c r="L69" s="71">
        <v>3000.247589987291</v>
      </c>
      <c r="M69" s="66">
        <v>25052.33234485082</v>
      </c>
      <c r="N69" s="71">
        <v>22860.293958828497</v>
      </c>
      <c r="O69" s="60">
        <f t="shared" si="32"/>
        <v>177612.99328156345</v>
      </c>
      <c r="P69" s="60">
        <f t="shared" si="16"/>
        <v>0</v>
      </c>
      <c r="Q69" s="60"/>
      <c r="U69" s="73">
        <f>U64*(1+S97)</f>
        <v>168269.2200370651</v>
      </c>
      <c r="W69" s="60">
        <f t="shared" si="31"/>
        <v>16752.078631683344</v>
      </c>
      <c r="X69" s="60">
        <f t="shared" si="18"/>
        <v>1365.950525167034</v>
      </c>
      <c r="Y69" s="60">
        <f t="shared" si="19"/>
        <v>8120.646225825152</v>
      </c>
      <c r="Z69" s="60">
        <f t="shared" si="20"/>
        <v>9223.585184456702</v>
      </c>
      <c r="AA69" s="60">
        <f t="shared" si="21"/>
        <v>29343.941711860112</v>
      </c>
      <c r="AB69" s="60">
        <f t="shared" si="22"/>
        <v>8649.352581901761</v>
      </c>
      <c r="AC69" s="60">
        <f t="shared" si="23"/>
        <v>8792.754293740138</v>
      </c>
      <c r="AD69" s="60">
        <f t="shared" si="24"/>
        <v>65729.19006723544</v>
      </c>
      <c r="AE69" s="60">
        <f t="shared" si="25"/>
        <v>22654.660843173817</v>
      </c>
      <c r="AF69" s="60">
        <f t="shared" si="26"/>
        <v>16497.72502494778</v>
      </c>
      <c r="AG69" s="60">
        <f t="shared" si="27"/>
        <v>2842.412103741343</v>
      </c>
      <c r="AH69" s="60">
        <f t="shared" si="28"/>
        <v>23734.392095372485</v>
      </c>
      <c r="AI69" s="60">
        <f t="shared" si="29"/>
        <v>21657.671340362434</v>
      </c>
      <c r="AJ69" s="60">
        <f t="shared" si="30"/>
        <v>0</v>
      </c>
    </row>
    <row r="70" spans="1:36" ht="12.75">
      <c r="A70" s="72">
        <v>2026</v>
      </c>
      <c r="B70" s="68">
        <v>17721.1</v>
      </c>
      <c r="C70" s="68">
        <v>1444.5</v>
      </c>
      <c r="D70" s="71">
        <v>8631.909342775067</v>
      </c>
      <c r="E70" s="71">
        <v>9812.857999999997</v>
      </c>
      <c r="F70" s="71">
        <v>31286.220607484538</v>
      </c>
      <c r="G70" s="71">
        <v>9207.530999999997</v>
      </c>
      <c r="H70" s="71">
        <v>9347.425977449248</v>
      </c>
      <c r="I70" s="71">
        <v>70640.71577640001</v>
      </c>
      <c r="J70" s="71">
        <v>24663.701336788807</v>
      </c>
      <c r="K70" s="71">
        <v>17762.356213529074</v>
      </c>
      <c r="L70" s="71">
        <v>3018.6848842146073</v>
      </c>
      <c r="M70" s="66">
        <v>25195.973341867513</v>
      </c>
      <c r="N70" s="71">
        <v>23073.233515822645</v>
      </c>
      <c r="O70" s="60">
        <f t="shared" si="32"/>
        <v>179720.9942199315</v>
      </c>
      <c r="P70" s="60">
        <f t="shared" si="16"/>
        <v>0</v>
      </c>
      <c r="Q70" s="60"/>
      <c r="U70" s="60">
        <f>(O70-O69)/(O$74-O$69)*(U$74-U$69)+U69</f>
        <v>168865.70254975132</v>
      </c>
      <c r="W70" s="60">
        <f t="shared" si="31"/>
        <v>16650.73139864994</v>
      </c>
      <c r="X70" s="60">
        <f t="shared" si="18"/>
        <v>1357.251045665892</v>
      </c>
      <c r="Y70" s="60">
        <f t="shared" si="19"/>
        <v>8110.535120508579</v>
      </c>
      <c r="Z70" s="60">
        <f t="shared" si="20"/>
        <v>9220.153535113124</v>
      </c>
      <c r="AA70" s="60">
        <f t="shared" si="21"/>
        <v>29396.50788123376</v>
      </c>
      <c r="AB70" s="60">
        <f t="shared" si="22"/>
        <v>8651.388769644245</v>
      </c>
      <c r="AC70" s="60">
        <f t="shared" si="23"/>
        <v>8782.833978662176</v>
      </c>
      <c r="AD70" s="60">
        <f t="shared" si="24"/>
        <v>66373.96009283904</v>
      </c>
      <c r="AE70" s="60">
        <f t="shared" si="25"/>
        <v>23173.994066699805</v>
      </c>
      <c r="AF70" s="60">
        <f t="shared" si="26"/>
        <v>16689.495703913042</v>
      </c>
      <c r="AG70" s="60">
        <f t="shared" si="27"/>
        <v>2836.3539049055717</v>
      </c>
      <c r="AH70" s="60">
        <f t="shared" si="28"/>
        <v>23674.11641732061</v>
      </c>
      <c r="AI70" s="60">
        <f t="shared" si="29"/>
        <v>21679.591773100445</v>
      </c>
      <c r="AJ70" s="60">
        <f t="shared" si="30"/>
        <v>0</v>
      </c>
    </row>
    <row r="71" spans="1:36" ht="12.75">
      <c r="A71" s="72">
        <v>2027</v>
      </c>
      <c r="B71" s="68">
        <v>17760</v>
      </c>
      <c r="C71" s="68">
        <v>1447.1</v>
      </c>
      <c r="D71" s="71">
        <v>8692.668108099408</v>
      </c>
      <c r="E71" s="71">
        <v>9890.619199999997</v>
      </c>
      <c r="F71" s="71">
        <v>31602.224428002286</v>
      </c>
      <c r="G71" s="71">
        <v>9286.003999999999</v>
      </c>
      <c r="H71" s="71">
        <v>9414.322688150922</v>
      </c>
      <c r="I71" s="71">
        <v>71925.32372256002</v>
      </c>
      <c r="J71" s="71">
        <v>25434.16447446336</v>
      </c>
      <c r="K71" s="71">
        <v>18117.86476601507</v>
      </c>
      <c r="L71" s="71">
        <v>3037.327585558276</v>
      </c>
      <c r="M71" s="66">
        <v>25335.966896523296</v>
      </c>
      <c r="N71" s="71">
        <v>23288.156566774243</v>
      </c>
      <c r="O71" s="60">
        <f t="shared" si="32"/>
        <v>181859.31871358686</v>
      </c>
      <c r="P71" s="60">
        <f t="shared" si="16"/>
        <v>0</v>
      </c>
      <c r="Q71" s="60"/>
      <c r="U71" s="60">
        <f>(O71-O70)/(O$74-O$69)*(U$74-U$69)+U70</f>
        <v>169470.76545257028</v>
      </c>
      <c r="W71" s="60">
        <f t="shared" si="31"/>
        <v>16550.159847336894</v>
      </c>
      <c r="X71" s="60">
        <f t="shared" si="18"/>
        <v>1348.5211889122306</v>
      </c>
      <c r="Y71" s="60">
        <f t="shared" si="19"/>
        <v>8100.509385635854</v>
      </c>
      <c r="Z71" s="60">
        <f t="shared" si="20"/>
        <v>9216.854096235322</v>
      </c>
      <c r="AA71" s="60">
        <f t="shared" si="21"/>
        <v>29449.42938146692</v>
      </c>
      <c r="AB71" s="60">
        <f t="shared" si="22"/>
        <v>8653.426269313613</v>
      </c>
      <c r="AC71" s="60">
        <f t="shared" si="23"/>
        <v>8773.00367924032</v>
      </c>
      <c r="AD71" s="60">
        <f t="shared" si="24"/>
        <v>67025.65341665655</v>
      </c>
      <c r="AE71" s="60">
        <f t="shared" si="25"/>
        <v>23701.54772724245</v>
      </c>
      <c r="AF71" s="60">
        <f t="shared" si="26"/>
        <v>16883.646282093607</v>
      </c>
      <c r="AG71" s="60">
        <f t="shared" si="27"/>
        <v>2830.4198789254106</v>
      </c>
      <c r="AH71" s="60">
        <f t="shared" si="28"/>
        <v>23610.03952839508</v>
      </c>
      <c r="AI71" s="60">
        <f t="shared" si="29"/>
        <v>21701.7293766848</v>
      </c>
      <c r="AJ71" s="60">
        <f t="shared" si="30"/>
        <v>0</v>
      </c>
    </row>
    <row r="72" spans="1:36" ht="12.75">
      <c r="A72" s="72">
        <v>2028</v>
      </c>
      <c r="B72" s="68">
        <v>17799</v>
      </c>
      <c r="C72" s="68">
        <v>1449.8</v>
      </c>
      <c r="D72" s="71">
        <v>8753.854545612734</v>
      </c>
      <c r="E72" s="71">
        <v>9968.947999999997</v>
      </c>
      <c r="F72" s="71">
        <v>31921.42005592724</v>
      </c>
      <c r="G72" s="71">
        <v>9365.059</v>
      </c>
      <c r="H72" s="71">
        <v>9481.698158450532</v>
      </c>
      <c r="I72" s="71">
        <v>73233.29253240002</v>
      </c>
      <c r="J72" s="71">
        <v>26224.493325888005</v>
      </c>
      <c r="K72" s="71">
        <v>18480.4887596728</v>
      </c>
      <c r="L72" s="71">
        <v>3056.1761473100646</v>
      </c>
      <c r="M72" s="66">
        <v>25472.134299529134</v>
      </c>
      <c r="N72" s="71">
        <v>23505.08158757539</v>
      </c>
      <c r="O72" s="60">
        <f t="shared" si="32"/>
        <v>184028.3538799659</v>
      </c>
      <c r="P72" s="60">
        <f t="shared" si="16"/>
        <v>0</v>
      </c>
      <c r="Q72" s="60"/>
      <c r="U72" s="60">
        <f>(O72-O71)/(O$74-O$69)*(U$74-U$69)+U71</f>
        <v>170084.5182847432</v>
      </c>
      <c r="W72" s="60">
        <f t="shared" si="31"/>
        <v>16450.36907152226</v>
      </c>
      <c r="X72" s="60">
        <f t="shared" si="18"/>
        <v>1339.948597106184</v>
      </c>
      <c r="Y72" s="60">
        <f t="shared" si="19"/>
        <v>8090.574643168282</v>
      </c>
      <c r="Z72" s="60">
        <f t="shared" si="20"/>
        <v>9213.600418833283</v>
      </c>
      <c r="AA72" s="60">
        <f t="shared" si="21"/>
        <v>29502.732805612435</v>
      </c>
      <c r="AB72" s="60">
        <f t="shared" si="22"/>
        <v>8655.468112061417</v>
      </c>
      <c r="AC72" s="60">
        <f t="shared" si="23"/>
        <v>8763.269516898938</v>
      </c>
      <c r="AD72" s="60">
        <f t="shared" si="24"/>
        <v>67684.4030833606</v>
      </c>
      <c r="AE72" s="60">
        <f t="shared" si="25"/>
        <v>24237.462437470076</v>
      </c>
      <c r="AF72" s="60">
        <f t="shared" si="26"/>
        <v>17080.221401131308</v>
      </c>
      <c r="AG72" s="60">
        <f t="shared" si="27"/>
        <v>2824.6095606963054</v>
      </c>
      <c r="AH72" s="60">
        <f t="shared" si="28"/>
        <v>23542.10968406289</v>
      </c>
      <c r="AI72" s="60">
        <f t="shared" si="29"/>
        <v>21724.100633285998</v>
      </c>
      <c r="AJ72" s="60">
        <f t="shared" si="30"/>
        <v>0</v>
      </c>
    </row>
    <row r="73" spans="1:36" ht="12.75">
      <c r="A73" s="72">
        <v>2029</v>
      </c>
      <c r="B73" s="68">
        <v>17838.1</v>
      </c>
      <c r="C73" s="68">
        <v>1452.4</v>
      </c>
      <c r="D73" s="71">
        <v>8815.47166563792</v>
      </c>
      <c r="E73" s="71">
        <v>10047.938999999997</v>
      </c>
      <c r="F73" s="71">
        <v>32243.835223034737</v>
      </c>
      <c r="G73" s="71">
        <v>9444.792999999998</v>
      </c>
      <c r="H73" s="71">
        <v>9549.555814686237</v>
      </c>
      <c r="I73" s="71">
        <v>74565.05175504</v>
      </c>
      <c r="J73" s="71">
        <v>27035.157336327364</v>
      </c>
      <c r="K73" s="71">
        <v>18850.371803864437</v>
      </c>
      <c r="L73" s="71">
        <v>3075.231053838586</v>
      </c>
      <c r="M73" s="66">
        <v>25604.291561009602</v>
      </c>
      <c r="N73" s="71">
        <v>23724.02722621783</v>
      </c>
      <c r="O73" s="60">
        <f t="shared" si="32"/>
        <v>186228.7736846167</v>
      </c>
      <c r="P73" s="60">
        <f t="shared" si="16"/>
        <v>0</v>
      </c>
      <c r="Q73" s="60"/>
      <c r="U73" s="60">
        <f>(O73-O72)/(O$74-O$69)*(U$74-U$69)+U72</f>
        <v>170707.1517523823</v>
      </c>
      <c r="W73" s="60">
        <f t="shared" si="31"/>
        <v>16351.34669807316</v>
      </c>
      <c r="X73" s="60">
        <f t="shared" si="18"/>
        <v>1331.3467210230608</v>
      </c>
      <c r="Y73" s="60">
        <f t="shared" si="19"/>
        <v>8080.727964967464</v>
      </c>
      <c r="Z73" s="60">
        <f t="shared" si="20"/>
        <v>9210.472762799316</v>
      </c>
      <c r="AA73" s="60">
        <f t="shared" si="21"/>
        <v>29556.40615353564</v>
      </c>
      <c r="AB73" s="60">
        <f t="shared" si="22"/>
        <v>8657.597212401235</v>
      </c>
      <c r="AC73" s="60">
        <f t="shared" si="23"/>
        <v>8753.628353834498</v>
      </c>
      <c r="AD73" s="60">
        <f t="shared" si="24"/>
        <v>68350.2734487657</v>
      </c>
      <c r="AE73" s="60">
        <f t="shared" si="25"/>
        <v>24781.85628756677</v>
      </c>
      <c r="AF73" s="60">
        <f t="shared" si="26"/>
        <v>17279.248616868957</v>
      </c>
      <c r="AG73" s="60">
        <f t="shared" si="27"/>
        <v>2818.9195675545943</v>
      </c>
      <c r="AH73" s="60">
        <f t="shared" si="28"/>
        <v>23470.248976775376</v>
      </c>
      <c r="AI73" s="60">
        <f t="shared" si="29"/>
        <v>21746.699158005318</v>
      </c>
      <c r="AJ73" s="60">
        <f t="shared" si="30"/>
        <v>0</v>
      </c>
    </row>
    <row r="74" spans="1:36" ht="12.75">
      <c r="A74" s="72">
        <v>2030</v>
      </c>
      <c r="B74" s="68">
        <v>17877.3</v>
      </c>
      <c r="C74" s="68">
        <v>1455.1</v>
      </c>
      <c r="D74" s="71">
        <v>8877.522499687075</v>
      </c>
      <c r="E74" s="71">
        <v>10127.497599999997</v>
      </c>
      <c r="F74" s="71">
        <v>32569.51513269999</v>
      </c>
      <c r="G74" s="71">
        <v>9525.108999999999</v>
      </c>
      <c r="H74" s="71">
        <v>9617.899107717467</v>
      </c>
      <c r="I74" s="71">
        <v>75921.03093960001</v>
      </c>
      <c r="J74" s="71">
        <v>27866.63364202081</v>
      </c>
      <c r="K74" s="71">
        <v>19573.10041264813</v>
      </c>
      <c r="L74" s="71">
        <v>3150.088166442646</v>
      </c>
      <c r="M74" s="66">
        <v>25331.208718488415</v>
      </c>
      <c r="N74" s="71">
        <v>23945.012304396012</v>
      </c>
      <c r="O74" s="60">
        <f t="shared" si="32"/>
        <v>188460.88658410055</v>
      </c>
      <c r="P74" s="60">
        <f t="shared" si="16"/>
        <v>0</v>
      </c>
      <c r="Q74" s="60"/>
      <c r="U74" s="123">
        <f>U69*(1+S98)</f>
        <v>171338.75313673192</v>
      </c>
      <c r="W74" s="60">
        <f t="shared" si="31"/>
        <v>16253.103479296233</v>
      </c>
      <c r="X74" s="60">
        <f t="shared" si="18"/>
        <v>1322.9005986767547</v>
      </c>
      <c r="Y74" s="60">
        <f t="shared" si="19"/>
        <v>8070.977822556794</v>
      </c>
      <c r="Z74" s="60">
        <f t="shared" si="20"/>
        <v>9207.38962142629</v>
      </c>
      <c r="AA74" s="60">
        <f t="shared" si="21"/>
        <v>29610.494857851998</v>
      </c>
      <c r="AB74" s="60">
        <f t="shared" si="22"/>
        <v>8659.729502138232</v>
      </c>
      <c r="AC74" s="60">
        <f t="shared" si="23"/>
        <v>8744.089401149105</v>
      </c>
      <c r="AD74" s="60">
        <f t="shared" si="24"/>
        <v>69023.41920290927</v>
      </c>
      <c r="AE74" s="60">
        <f t="shared" si="25"/>
        <v>25334.88167695356</v>
      </c>
      <c r="AF74" s="60">
        <f t="shared" si="26"/>
        <v>17794.836268196308</v>
      </c>
      <c r="AG74" s="60">
        <f t="shared" si="27"/>
        <v>2863.8949359298585</v>
      </c>
      <c r="AH74" s="60">
        <f t="shared" si="28"/>
        <v>23029.806321829532</v>
      </c>
      <c r="AI74" s="60">
        <f t="shared" si="29"/>
        <v>21769.54924940399</v>
      </c>
      <c r="AJ74" s="60">
        <f t="shared" si="30"/>
        <v>0</v>
      </c>
    </row>
    <row r="75" spans="1:14" ht="12.75">
      <c r="A75" s="72"/>
      <c r="B75" s="67"/>
      <c r="C75" s="67"/>
      <c r="E75" s="67"/>
      <c r="I75" s="66"/>
      <c r="J75" s="66"/>
      <c r="N75" s="67"/>
    </row>
    <row r="76" spans="1:12" ht="12.75">
      <c r="A76" s="72"/>
      <c r="G76" s="67"/>
      <c r="I76" s="66"/>
      <c r="J76" s="73"/>
      <c r="L76" s="67"/>
    </row>
    <row r="77" spans="1:16" ht="12.75">
      <c r="A77" s="72" t="s">
        <v>281</v>
      </c>
      <c r="B77" s="113">
        <f aca="true" t="shared" si="33" ref="B77:H77">(B29-B24)/B24</f>
        <v>-0.051097768970650506</v>
      </c>
      <c r="C77" s="113">
        <f t="shared" si="33"/>
        <v>0.1387957195336208</v>
      </c>
      <c r="D77" s="113">
        <f t="shared" si="33"/>
        <v>0.07409111826967327</v>
      </c>
      <c r="E77" s="113">
        <f t="shared" si="33"/>
        <v>0.016632986165086346</v>
      </c>
      <c r="F77" s="113">
        <f t="shared" si="33"/>
        <v>0.15254034190765295</v>
      </c>
      <c r="G77" s="113">
        <f t="shared" si="33"/>
        <v>0.08358998582900323</v>
      </c>
      <c r="H77" s="113">
        <f t="shared" si="33"/>
        <v>0.15492274244894777</v>
      </c>
      <c r="I77" s="113">
        <f aca="true" t="shared" si="34" ref="I77:O77">(I29-I24)/I24</f>
        <v>0.20768959548689023</v>
      </c>
      <c r="J77" s="113">
        <f t="shared" si="34"/>
        <v>0.4236005461283402</v>
      </c>
      <c r="K77" s="113">
        <f t="shared" si="34"/>
        <v>0.19226979916635092</v>
      </c>
      <c r="L77" s="113">
        <f t="shared" si="34"/>
        <v>-0.014486163440301533</v>
      </c>
      <c r="M77" s="113">
        <f t="shared" si="34"/>
        <v>0.19375876803135622</v>
      </c>
      <c r="N77" s="113">
        <f t="shared" si="34"/>
        <v>0.010766355140186916</v>
      </c>
      <c r="O77" s="113">
        <f t="shared" si="34"/>
        <v>0.07939911951773852</v>
      </c>
      <c r="P77" s="113"/>
    </row>
    <row r="78" spans="1:16" ht="12.75">
      <c r="A78" s="72" t="s">
        <v>282</v>
      </c>
      <c r="B78" s="113">
        <f aca="true" t="shared" si="35" ref="B78:H78">(B34-B29)/B29</f>
        <v>-0.009002597402597365</v>
      </c>
      <c r="C78" s="113">
        <f t="shared" si="35"/>
        <v>0.10063113604488079</v>
      </c>
      <c r="D78" s="113">
        <f t="shared" si="35"/>
        <v>0.09682947729220223</v>
      </c>
      <c r="E78" s="113">
        <f t="shared" si="35"/>
        <v>0.10403287461773704</v>
      </c>
      <c r="F78" s="113">
        <f t="shared" si="35"/>
        <v>0.13216080402010041</v>
      </c>
      <c r="G78" s="113">
        <f t="shared" si="35"/>
        <v>0.07637447906676664</v>
      </c>
      <c r="H78" s="113">
        <f t="shared" si="35"/>
        <v>0.12756945728356053</v>
      </c>
      <c r="I78" s="113">
        <f aca="true" t="shared" si="36" ref="I78:O78">(I34-I29)/I29</f>
        <v>0.2520779421847698</v>
      </c>
      <c r="J78" s="113">
        <f t="shared" si="36"/>
        <v>0.4082862936373101</v>
      </c>
      <c r="K78" s="113">
        <f t="shared" si="36"/>
        <v>0.24178426137808287</v>
      </c>
      <c r="L78" s="113">
        <f t="shared" si="36"/>
        <v>0.2823149429833236</v>
      </c>
      <c r="M78" s="113">
        <f t="shared" si="36"/>
        <v>0.20263384527056114</v>
      </c>
      <c r="N78" s="113">
        <f t="shared" si="36"/>
        <v>0.12574894592795324</v>
      </c>
      <c r="O78" s="113">
        <f t="shared" si="36"/>
        <v>0.12417858328621825</v>
      </c>
      <c r="P78" s="113"/>
    </row>
    <row r="79" spans="1:16" ht="12.75">
      <c r="A79" s="72" t="s">
        <v>283</v>
      </c>
      <c r="B79" s="113">
        <f aca="true" t="shared" si="37" ref="B79:H79">(B39-B34)/B34</f>
        <v>-0.028972516210875085</v>
      </c>
      <c r="C79" s="113">
        <f t="shared" si="37"/>
        <v>-0.015036635871296533</v>
      </c>
      <c r="D79" s="113">
        <f t="shared" si="37"/>
        <v>0.00792968750000007</v>
      </c>
      <c r="E79" s="113">
        <f t="shared" si="37"/>
        <v>0.061613835846476055</v>
      </c>
      <c r="F79" s="113">
        <f t="shared" si="37"/>
        <v>0.08090872451035919</v>
      </c>
      <c r="G79" s="113">
        <f t="shared" si="37"/>
        <v>0.03319347470394799</v>
      </c>
      <c r="H79" s="113">
        <f t="shared" si="37"/>
        <v>0.014488649067628576</v>
      </c>
      <c r="I79" s="113">
        <f aca="true" t="shared" si="38" ref="I79:O79">(I39-I34)/I34</f>
        <v>0.17693984476295802</v>
      </c>
      <c r="J79" s="113">
        <f t="shared" si="38"/>
        <v>0.3255438378020782</v>
      </c>
      <c r="K79" s="113">
        <f t="shared" si="38"/>
        <v>0.18121904713154083</v>
      </c>
      <c r="L79" s="113">
        <f t="shared" si="38"/>
        <v>0.103063637298242</v>
      </c>
      <c r="M79" s="113">
        <f t="shared" si="38"/>
        <v>0.1281963300014919</v>
      </c>
      <c r="N79" s="113">
        <f t="shared" si="38"/>
        <v>0.0831197844799264</v>
      </c>
      <c r="O79" s="113">
        <f t="shared" si="38"/>
        <v>0.07553420557502488</v>
      </c>
      <c r="P79" s="113"/>
    </row>
    <row r="80" spans="1:20" ht="12.75">
      <c r="A80" s="72" t="s">
        <v>284</v>
      </c>
      <c r="B80" s="113">
        <f aca="true" t="shared" si="39" ref="B80:H80">(B44-B39)/B39</f>
        <v>-0.002753185057223062</v>
      </c>
      <c r="C80" s="113">
        <f t="shared" si="39"/>
        <v>0.0010349957953295227</v>
      </c>
      <c r="D80" s="113">
        <f t="shared" si="39"/>
        <v>0.28919117932023397</v>
      </c>
      <c r="E80" s="113">
        <f t="shared" si="39"/>
        <v>0.146570561951665</v>
      </c>
      <c r="F80" s="113">
        <f t="shared" si="39"/>
        <v>0.10147732099872564</v>
      </c>
      <c r="G80" s="113">
        <f t="shared" si="39"/>
        <v>0.08924707579416097</v>
      </c>
      <c r="H80" s="113">
        <f t="shared" si="39"/>
        <v>0.11344568683054415</v>
      </c>
      <c r="I80" s="113">
        <f aca="true" t="shared" si="40" ref="I80:O80">(I44-I39)/I39</f>
        <v>0.20717489058456948</v>
      </c>
      <c r="J80" s="113">
        <f t="shared" si="40"/>
        <v>0.4462091743119265</v>
      </c>
      <c r="K80" s="113">
        <f t="shared" si="40"/>
        <v>0.09457878315132606</v>
      </c>
      <c r="L80" s="113">
        <f t="shared" si="40"/>
        <v>0.1491681811827205</v>
      </c>
      <c r="M80" s="113">
        <f t="shared" si="40"/>
        <v>0.1769964164341535</v>
      </c>
      <c r="N80" s="113">
        <f t="shared" si="40"/>
        <v>0.08741810240232953</v>
      </c>
      <c r="O80" s="113">
        <f t="shared" si="40"/>
        <v>0.12435155884682968</v>
      </c>
      <c r="P80" s="113"/>
      <c r="R80" s="40" t="s">
        <v>334</v>
      </c>
      <c r="S80" s="40" t="s">
        <v>335</v>
      </c>
      <c r="T80" s="61" t="s">
        <v>347</v>
      </c>
    </row>
    <row r="81" spans="1:19" ht="12.75">
      <c r="A81" s="72" t="s">
        <v>285</v>
      </c>
      <c r="B81" s="113">
        <f aca="true" t="shared" si="41" ref="B81:H81">(B49-B44)/B44</f>
        <v>-0.0869972392139879</v>
      </c>
      <c r="C81" s="113">
        <f t="shared" si="41"/>
        <v>-0.08924071082390947</v>
      </c>
      <c r="D81" s="113">
        <f t="shared" si="41"/>
        <v>0.037156170148805026</v>
      </c>
      <c r="E81" s="113">
        <f t="shared" si="41"/>
        <v>0.038344474470203435</v>
      </c>
      <c r="F81" s="113">
        <f t="shared" si="41"/>
        <v>0.044770107554527115</v>
      </c>
      <c r="G81" s="113">
        <f t="shared" si="41"/>
        <v>0.019490427522671605</v>
      </c>
      <c r="H81" s="113">
        <f t="shared" si="41"/>
        <v>0.04635787806809187</v>
      </c>
      <c r="I81" s="113">
        <f aca="true" t="shared" si="42" ref="I81:O81">(I49-I44)/I44</f>
        <v>0.1206785510915054</v>
      </c>
      <c r="J81" s="113">
        <f t="shared" si="42"/>
        <v>0.1345066634186942</v>
      </c>
      <c r="K81" s="113">
        <f t="shared" si="42"/>
        <v>0.14902903972920015</v>
      </c>
      <c r="L81" s="113">
        <f t="shared" si="42"/>
        <v>0.04683698296836983</v>
      </c>
      <c r="M81" s="113">
        <f t="shared" si="42"/>
        <v>0.10664771705914076</v>
      </c>
      <c r="N81" s="113">
        <f t="shared" si="42"/>
        <v>0.06451324965132504</v>
      </c>
      <c r="O81" s="121">
        <f t="shared" si="42"/>
        <v>0.05033353074420765</v>
      </c>
      <c r="P81" s="113"/>
      <c r="R81" s="40" t="s">
        <v>332</v>
      </c>
      <c r="S81" s="40" t="s">
        <v>332</v>
      </c>
    </row>
    <row r="82" spans="1:20" ht="12.75">
      <c r="A82" s="72" t="s">
        <v>286</v>
      </c>
      <c r="B82" s="113">
        <f aca="true" t="shared" si="43" ref="B82:H82">(B54-B49)/B49</f>
        <v>0.017793298904890845</v>
      </c>
      <c r="C82" s="113">
        <f t="shared" si="43"/>
        <v>-0.0017738044557967928</v>
      </c>
      <c r="D82" s="113">
        <f t="shared" si="43"/>
        <v>0.0901568070490711</v>
      </c>
      <c r="E82" s="113">
        <f t="shared" si="43"/>
        <v>0.13333150699942464</v>
      </c>
      <c r="F82" s="113">
        <f t="shared" si="43"/>
        <v>0.08277075523546261</v>
      </c>
      <c r="G82" s="113">
        <f t="shared" si="43"/>
        <v>0.10132158590308375</v>
      </c>
      <c r="H82" s="113">
        <f t="shared" si="43"/>
        <v>0.04002875411448684</v>
      </c>
      <c r="I82" s="113">
        <f aca="true" t="shared" si="44" ref="I82:O82">(I54-I49)/I49</f>
        <v>0.17372781695297362</v>
      </c>
      <c r="J82" s="113">
        <f t="shared" si="44"/>
        <v>0.3350480876761351</v>
      </c>
      <c r="K82" s="113">
        <f t="shared" si="44"/>
        <v>0.1141259873719754</v>
      </c>
      <c r="L82" s="113">
        <f t="shared" si="44"/>
        <v>0.059190393182258445</v>
      </c>
      <c r="M82" s="113">
        <f t="shared" si="44"/>
        <v>0.13232927751635787</v>
      </c>
      <c r="N82" s="113">
        <f t="shared" si="44"/>
        <v>0.038382927877409295</v>
      </c>
      <c r="O82" s="121">
        <f t="shared" si="44"/>
        <v>0.10036936389475368</v>
      </c>
      <c r="P82" s="122">
        <f>(O54-O44)/O44</f>
        <v>0.15575483910233448</v>
      </c>
      <c r="Q82" s="56" t="s">
        <v>333</v>
      </c>
      <c r="R82" s="115">
        <v>0.11929162455244527</v>
      </c>
      <c r="S82" s="115">
        <v>0.10457351819550688</v>
      </c>
      <c r="T82" s="115">
        <v>0.08919529541673629</v>
      </c>
    </row>
    <row r="83" spans="1:16" ht="12.75">
      <c r="A83" s="72" t="s">
        <v>287</v>
      </c>
      <c r="B83" s="113">
        <f aca="true" t="shared" si="45" ref="B83:H83">(B59-B54)/B54</f>
        <v>0.009122684376092191</v>
      </c>
      <c r="C83" s="113">
        <f t="shared" si="45"/>
        <v>0.0075342952590801825</v>
      </c>
      <c r="D83" s="113">
        <f t="shared" si="45"/>
        <v>0.048783797644365495</v>
      </c>
      <c r="E83" s="113">
        <f t="shared" si="45"/>
        <v>0.07455721537345895</v>
      </c>
      <c r="F83" s="113">
        <f t="shared" si="45"/>
        <v>0.056700603875587584</v>
      </c>
      <c r="G83" s="113">
        <f t="shared" si="45"/>
        <v>0.06395320512820478</v>
      </c>
      <c r="H83" s="113">
        <f t="shared" si="45"/>
        <v>0.04196887861600561</v>
      </c>
      <c r="I83" s="113">
        <f aca="true" t="shared" si="46" ref="I83:O83">(I59-I54)/I54</f>
        <v>0.09487289133355267</v>
      </c>
      <c r="J83" s="113">
        <f t="shared" si="46"/>
        <v>0.163973484661216</v>
      </c>
      <c r="K83" s="113">
        <f t="shared" si="46"/>
        <v>0.1039189633970156</v>
      </c>
      <c r="L83" s="113">
        <f t="shared" si="46"/>
        <v>0.03120591130852281</v>
      </c>
      <c r="M83" s="113">
        <f t="shared" si="46"/>
        <v>0.05120628997440764</v>
      </c>
      <c r="N83" s="113">
        <f t="shared" si="46"/>
        <v>0.04952166358376321</v>
      </c>
      <c r="O83" s="121">
        <f t="shared" si="46"/>
        <v>0.06401586784852831</v>
      </c>
      <c r="P83" s="113"/>
    </row>
    <row r="84" spans="1:19" ht="12.75">
      <c r="A84" s="72" t="s">
        <v>288</v>
      </c>
      <c r="B84" s="113">
        <f aca="true" t="shared" si="47" ref="B84:H84">(B64-B59)/B59</f>
        <v>0.010096636763534428</v>
      </c>
      <c r="C84" s="113">
        <f t="shared" si="47"/>
        <v>0.008324514991181626</v>
      </c>
      <c r="D84" s="113">
        <f t="shared" si="47"/>
        <v>0.04457214822316821</v>
      </c>
      <c r="E84" s="113">
        <f t="shared" si="47"/>
        <v>0.04850825672454864</v>
      </c>
      <c r="F84" s="113">
        <f t="shared" si="47"/>
        <v>0.0544238376914963</v>
      </c>
      <c r="G84" s="113">
        <f t="shared" si="47"/>
        <v>0.05107825375489468</v>
      </c>
      <c r="H84" s="113">
        <f t="shared" si="47"/>
        <v>0.040267064221117206</v>
      </c>
      <c r="I84" s="113">
        <f aca="true" t="shared" si="48" ref="I84:O84">(I64-I59)/I59</f>
        <v>0.0945613180664276</v>
      </c>
      <c r="J84" s="113">
        <f t="shared" si="48"/>
        <v>0.1762449985191456</v>
      </c>
      <c r="K84" s="113">
        <f t="shared" si="48"/>
        <v>0.10443107413295097</v>
      </c>
      <c r="L84" s="113">
        <f t="shared" si="48"/>
        <v>0.031540688118646326</v>
      </c>
      <c r="M84" s="113">
        <f t="shared" si="48"/>
        <v>0.03562458620462073</v>
      </c>
      <c r="N84" s="113">
        <f t="shared" si="48"/>
        <v>0.0488273127523637</v>
      </c>
      <c r="O84" s="121">
        <f t="shared" si="48"/>
        <v>0.06178822732923939</v>
      </c>
      <c r="P84" s="113">
        <f>(O64-O54)/O54</f>
        <v>0.1297595221730711</v>
      </c>
      <c r="Q84" s="56" t="s">
        <v>330</v>
      </c>
      <c r="R84" s="115">
        <v>0.05457589333224527</v>
      </c>
      <c r="S84" s="115">
        <v>0.030073063851132262</v>
      </c>
    </row>
    <row r="85" spans="1:19" ht="12.75">
      <c r="A85" s="72" t="s">
        <v>289</v>
      </c>
      <c r="B85" s="113">
        <f aca="true" t="shared" si="49" ref="B85:H85">(B69-B64)/B64</f>
        <v>0.010561508786969525</v>
      </c>
      <c r="C85" s="113">
        <f t="shared" si="49"/>
        <v>0.008745539774714896</v>
      </c>
      <c r="D85" s="113">
        <f t="shared" si="49"/>
        <v>0.040125111614891296</v>
      </c>
      <c r="E85" s="113">
        <f t="shared" si="49"/>
        <v>0.04436641872076159</v>
      </c>
      <c r="F85" s="113">
        <f t="shared" si="49"/>
        <v>0.05297739998482646</v>
      </c>
      <c r="G85" s="113">
        <f t="shared" si="49"/>
        <v>0.046649986099527495</v>
      </c>
      <c r="H85" s="113">
        <f t="shared" si="49"/>
        <v>0.03828169347771956</v>
      </c>
      <c r="I85" s="113">
        <f aca="true" t="shared" si="50" ref="I85:O85">(I69-I64)/I64</f>
        <v>0.09442731391106865</v>
      </c>
      <c r="J85" s="113">
        <f t="shared" si="50"/>
        <v>0.17042921071044873</v>
      </c>
      <c r="K85" s="113">
        <f t="shared" si="50"/>
        <v>0.10429586165028971</v>
      </c>
      <c r="L85" s="113">
        <f t="shared" si="50"/>
        <v>0.03152361821307308</v>
      </c>
      <c r="M85" s="113">
        <f t="shared" si="50"/>
        <v>0.03161273333867201</v>
      </c>
      <c r="N85" s="113">
        <f t="shared" si="50"/>
        <v>0.048138418431697104</v>
      </c>
      <c r="O85" s="121">
        <f t="shared" si="50"/>
        <v>0.06138648561747752</v>
      </c>
      <c r="P85" s="113"/>
      <c r="R85" s="115"/>
      <c r="S85" s="115"/>
    </row>
    <row r="86" spans="1:19" ht="12.75">
      <c r="A86" s="72" t="s">
        <v>290</v>
      </c>
      <c r="B86" s="113">
        <f aca="true" t="shared" si="51" ref="B86:H86">(B74-B69)/B69</f>
        <v>0.011027977129672045</v>
      </c>
      <c r="C86" s="113">
        <f t="shared" si="51"/>
        <v>0.009224580385629044</v>
      </c>
      <c r="D86" s="113">
        <f t="shared" si="51"/>
        <v>0.03569323374480215</v>
      </c>
      <c r="E86" s="113">
        <f t="shared" si="51"/>
        <v>0.0402370888597385</v>
      </c>
      <c r="F86" s="113">
        <f t="shared" si="51"/>
        <v>0.0515327180657467</v>
      </c>
      <c r="G86" s="113">
        <f t="shared" si="51"/>
        <v>0.04331704207394806</v>
      </c>
      <c r="H86" s="113">
        <f t="shared" si="51"/>
        <v>0.03629935518823492</v>
      </c>
      <c r="I86" s="113">
        <f aca="true" t="shared" si="52" ref="I86:O86">(I74-I69)/I69</f>
        <v>0.09429336058791973</v>
      </c>
      <c r="J86" s="113">
        <f t="shared" si="52"/>
        <v>0.16535137101570702</v>
      </c>
      <c r="K86" s="113">
        <f t="shared" si="52"/>
        <v>0.12399793050630255</v>
      </c>
      <c r="L86" s="113">
        <f t="shared" si="52"/>
        <v>0.049942737044574935</v>
      </c>
      <c r="M86" s="113">
        <f t="shared" si="52"/>
        <v>0.011131752916207594</v>
      </c>
      <c r="N86" s="113">
        <f t="shared" si="52"/>
        <v>0.0474498861441195</v>
      </c>
      <c r="O86" s="121">
        <f t="shared" si="52"/>
        <v>0.06107601196349594</v>
      </c>
      <c r="P86" s="113">
        <f>(O74-O64)/O64</f>
        <v>0.12621173931094348</v>
      </c>
      <c r="Q86" s="56" t="s">
        <v>331</v>
      </c>
      <c r="R86" s="115">
        <v>0.042082804622351554</v>
      </c>
      <c r="S86" s="115">
        <v>0.021755061483229598</v>
      </c>
    </row>
    <row r="88" spans="1:19" ht="12.75">
      <c r="A88" s="72" t="s">
        <v>291</v>
      </c>
      <c r="J88" s="62"/>
      <c r="Q88" s="56" t="s">
        <v>330</v>
      </c>
      <c r="R88" s="122">
        <f>$P82/$R82*R84+0.045+0.01</f>
        <v>0.12625780637762124</v>
      </c>
      <c r="S88" s="113">
        <f>$P82/$R82*S84</f>
        <v>0.03926533182040837</v>
      </c>
    </row>
    <row r="89" spans="1:19" ht="12.75">
      <c r="A89" s="72" t="s">
        <v>281</v>
      </c>
      <c r="B89" s="113">
        <v>-0.048241229147402254</v>
      </c>
      <c r="C89" s="113"/>
      <c r="D89" s="113">
        <v>0.14349055339059572</v>
      </c>
      <c r="E89" s="113">
        <v>0.03927603660718855</v>
      </c>
      <c r="F89" s="113">
        <v>0.13296316798908503</v>
      </c>
      <c r="G89" s="113">
        <v>0.06869341165643683</v>
      </c>
      <c r="H89" s="113">
        <v>0.08405449514105168</v>
      </c>
      <c r="I89" s="113">
        <v>0.2496789647992297</v>
      </c>
      <c r="J89" s="62"/>
      <c r="N89" s="113">
        <v>0.016662896780517227</v>
      </c>
      <c r="R89" s="61"/>
      <c r="S89" s="62"/>
    </row>
    <row r="90" spans="1:19" ht="12.75">
      <c r="A90" s="72" t="s">
        <v>282</v>
      </c>
      <c r="B90" s="113">
        <v>-0.004115711336061437</v>
      </c>
      <c r="C90" s="113"/>
      <c r="D90" s="113">
        <v>0.12300120547111275</v>
      </c>
      <c r="E90" s="113">
        <v>0.1142891942985176</v>
      </c>
      <c r="F90" s="113">
        <v>0.131217808881738</v>
      </c>
      <c r="G90" s="113">
        <v>0.09377207223739117</v>
      </c>
      <c r="H90" s="113">
        <v>0.12859345014197232</v>
      </c>
      <c r="I90" s="113">
        <v>0.23904705758384967</v>
      </c>
      <c r="J90" s="62"/>
      <c r="N90" s="113">
        <v>0.1305992287155147</v>
      </c>
      <c r="Q90" s="56" t="s">
        <v>331</v>
      </c>
      <c r="R90" s="122">
        <f>$P82/$R82*R86+0.02</f>
        <v>0.07494602397712914</v>
      </c>
      <c r="S90" s="113">
        <f>$P82/$R82*S86</f>
        <v>0.028404811433279813</v>
      </c>
    </row>
    <row r="91" spans="1:14" ht="12.75">
      <c r="A91" s="72" t="s">
        <v>283</v>
      </c>
      <c r="B91" s="113">
        <v>-0.025937601775278207</v>
      </c>
      <c r="C91" s="113"/>
      <c r="D91" s="113">
        <v>0.06483041994471954</v>
      </c>
      <c r="E91" s="113">
        <v>0.07727449186357543</v>
      </c>
      <c r="F91" s="113">
        <v>0.09963731608229125</v>
      </c>
      <c r="G91" s="113">
        <v>0.03263191505561278</v>
      </c>
      <c r="H91" s="113">
        <v>0.03035528256445674</v>
      </c>
      <c r="I91" s="113">
        <v>0.1565146199078169</v>
      </c>
      <c r="J91" s="62"/>
      <c r="N91" s="113">
        <v>0.07615611675959331</v>
      </c>
    </row>
    <row r="92" spans="1:14" ht="12.75">
      <c r="A92" s="72" t="s">
        <v>284</v>
      </c>
      <c r="B92" s="113">
        <v>-0.00413706719957478</v>
      </c>
      <c r="C92" s="113"/>
      <c r="D92" s="113">
        <v>0.24222709952222793</v>
      </c>
      <c r="E92" s="113">
        <v>0.1654709677346417</v>
      </c>
      <c r="F92" s="113">
        <v>0.08490029477968541</v>
      </c>
      <c r="G92" s="113">
        <v>0.09442615012525771</v>
      </c>
      <c r="H92" s="113">
        <v>0.22262031944093133</v>
      </c>
      <c r="I92" s="113">
        <v>0.19005556948531072</v>
      </c>
      <c r="J92" s="62"/>
      <c r="N92" s="113">
        <v>0.083445081067902</v>
      </c>
    </row>
    <row r="93" spans="1:19" ht="12.75">
      <c r="A93" s="72" t="s">
        <v>285</v>
      </c>
      <c r="B93" s="114">
        <v>0.00715855751125179</v>
      </c>
      <c r="D93" s="114">
        <v>0.06754773127425344</v>
      </c>
      <c r="E93" s="114">
        <v>0.05819935999328718</v>
      </c>
      <c r="F93" s="114">
        <v>0.051486326389664674</v>
      </c>
      <c r="G93" s="114">
        <v>0.07620969852445515</v>
      </c>
      <c r="H93" s="114">
        <v>0.05941147618984456</v>
      </c>
      <c r="I93" s="114">
        <v>0.09803035039590922</v>
      </c>
      <c r="J93" s="114"/>
      <c r="K93" s="114"/>
      <c r="L93" s="114"/>
      <c r="M93" s="114"/>
      <c r="N93" s="114">
        <v>0.06795364275668074</v>
      </c>
      <c r="R93" s="61" t="s">
        <v>339</v>
      </c>
      <c r="S93" s="126" t="s">
        <v>337</v>
      </c>
    </row>
    <row r="94" spans="1:21" ht="12.75">
      <c r="A94" s="72" t="s">
        <v>286</v>
      </c>
      <c r="B94" s="114">
        <v>0.00916003679126161</v>
      </c>
      <c r="D94" s="114">
        <v>0.06400376161680081</v>
      </c>
      <c r="E94" s="114">
        <v>0.0568548896726821</v>
      </c>
      <c r="F94" s="114">
        <v>0.056451178149983815</v>
      </c>
      <c r="G94" s="114">
        <v>0.0648207540096917</v>
      </c>
      <c r="H94" s="114">
        <v>0.060592533506500575</v>
      </c>
      <c r="I94" s="114">
        <v>0.09482959094058148</v>
      </c>
      <c r="J94" s="114"/>
      <c r="K94" s="114"/>
      <c r="L94" s="114"/>
      <c r="M94" s="114"/>
      <c r="N94" s="114">
        <v>0.06256517716282829</v>
      </c>
      <c r="U94" s="115">
        <v>0.046952609195743254</v>
      </c>
    </row>
    <row r="95" spans="1:22" ht="12.75">
      <c r="A95" s="72" t="s">
        <v>287</v>
      </c>
      <c r="B95" s="114">
        <v>0.009628180224555376</v>
      </c>
      <c r="D95" s="114">
        <v>0.05862820714601356</v>
      </c>
      <c r="E95" s="114">
        <v>0.05267403456524119</v>
      </c>
      <c r="F95" s="114">
        <v>0.0550018019739442</v>
      </c>
      <c r="G95" s="114">
        <v>0.06166667165203526</v>
      </c>
      <c r="H95" s="114">
        <v>0.057844210296394034</v>
      </c>
      <c r="I95" s="114">
        <v>0.09469554312755522</v>
      </c>
      <c r="J95" s="114"/>
      <c r="K95" s="114"/>
      <c r="L95" s="114"/>
      <c r="M95" s="114"/>
      <c r="N95" s="114">
        <v>0.061699925480439316</v>
      </c>
      <c r="Q95" s="56" t="s">
        <v>287</v>
      </c>
      <c r="R95" s="115">
        <v>0.041372738378624825</v>
      </c>
      <c r="S95" s="102">
        <f>R145</f>
        <v>0.05178360462285681</v>
      </c>
      <c r="U95" s="115">
        <v>0.02345527501575662</v>
      </c>
      <c r="V95" s="115">
        <f>P$100/U$94*U95</f>
        <v>0.07780765858932043</v>
      </c>
    </row>
    <row r="96" spans="1:22" ht="12.75">
      <c r="A96" s="72" t="s">
        <v>288</v>
      </c>
      <c r="B96" s="114">
        <v>0.010092644690515823</v>
      </c>
      <c r="D96" s="114">
        <v>0.053273993576163685</v>
      </c>
      <c r="E96" s="114">
        <v>0.04851468934234752</v>
      </c>
      <c r="F96" s="114">
        <v>0.0535537306342216</v>
      </c>
      <c r="G96" s="114">
        <v>0.05851931840901431</v>
      </c>
      <c r="H96" s="114">
        <v>0.0550982967679046</v>
      </c>
      <c r="I96" s="114">
        <v>0.09456131806642734</v>
      </c>
      <c r="J96" s="114"/>
      <c r="K96" s="114"/>
      <c r="L96" s="114"/>
      <c r="M96" s="114"/>
      <c r="N96" s="114">
        <v>0.06083091789966168</v>
      </c>
      <c r="Q96" s="56" t="s">
        <v>288</v>
      </c>
      <c r="R96" s="115">
        <v>0.040537645721944335</v>
      </c>
      <c r="S96" s="102">
        <f>R146</f>
        <v>0.041013570565412376</v>
      </c>
      <c r="U96" s="115">
        <v>0.030407404286435027</v>
      </c>
      <c r="V96" s="115">
        <f>P$100/U$94*U96</f>
        <v>0.10086980134391979</v>
      </c>
    </row>
    <row r="97" spans="1:22" ht="12.75">
      <c r="A97" s="72" t="s">
        <v>289</v>
      </c>
      <c r="B97" s="114">
        <v>0.010560146970149406</v>
      </c>
      <c r="D97" s="114">
        <v>0.04794298245758256</v>
      </c>
      <c r="E97" s="114">
        <v>0.04436581401404889</v>
      </c>
      <c r="F97" s="114">
        <v>0.052108486523155036</v>
      </c>
      <c r="G97" s="114">
        <v>0.05538906186624296</v>
      </c>
      <c r="H97" s="114">
        <v>0.05236713256301595</v>
      </c>
      <c r="I97" s="114">
        <v>0.09442731391106862</v>
      </c>
      <c r="J97" s="114"/>
      <c r="K97" s="114"/>
      <c r="L97" s="114"/>
      <c r="M97" s="114"/>
      <c r="N97" s="114">
        <v>0.059968847283460414</v>
      </c>
      <c r="Q97" s="56" t="s">
        <v>289</v>
      </c>
      <c r="R97" s="115">
        <v>0.039664201431671826</v>
      </c>
      <c r="S97" s="102">
        <f>R147</f>
        <v>0.03754448109348031</v>
      </c>
      <c r="U97" s="115">
        <v>0.008955460552915063</v>
      </c>
      <c r="V97" s="115">
        <f>P$100/U$94*U97</f>
        <v>0.02970774875772074</v>
      </c>
    </row>
    <row r="98" spans="1:22" ht="12.75">
      <c r="A98" s="72" t="s">
        <v>290</v>
      </c>
      <c r="B98" s="114">
        <v>0.011028291224434179</v>
      </c>
      <c r="D98" s="114">
        <v>0.04263491092231307</v>
      </c>
      <c r="E98" s="114">
        <v>0.04023114889140663</v>
      </c>
      <c r="F98" s="114">
        <v>0.050664996750809224</v>
      </c>
      <c r="G98" s="114">
        <v>0.05226639620237723</v>
      </c>
      <c r="H98" s="114">
        <v>0.0496415704399402</v>
      </c>
      <c r="I98" s="114">
        <v>0.09429336058792001</v>
      </c>
      <c r="J98" s="114"/>
      <c r="K98" s="114"/>
      <c r="L98" s="114"/>
      <c r="M98" s="114"/>
      <c r="N98" s="114">
        <v>0.05910684830474264</v>
      </c>
      <c r="Q98" s="56" t="s">
        <v>290</v>
      </c>
      <c r="R98" s="115">
        <v>0.039238762334811196</v>
      </c>
      <c r="S98" s="102">
        <f>R148</f>
        <v>0.018241797870048156</v>
      </c>
      <c r="U98" s="115">
        <v>0.03283330668658304</v>
      </c>
      <c r="V98" s="115">
        <f>P$100/U$94*U98</f>
        <v>0.10891719305409713</v>
      </c>
    </row>
    <row r="99" spans="2:22" ht="12.75">
      <c r="B99" s="75"/>
      <c r="C99" s="75"/>
      <c r="D99" s="75"/>
      <c r="E99" s="75"/>
      <c r="F99" s="75"/>
      <c r="G99" s="75"/>
      <c r="H99" s="75"/>
      <c r="K99" s="75"/>
      <c r="L99" s="75"/>
      <c r="N99" s="75"/>
      <c r="O99" s="76"/>
      <c r="P99" s="56" t="s">
        <v>346</v>
      </c>
      <c r="U99" s="124" t="s">
        <v>340</v>
      </c>
      <c r="V99" s="124" t="s">
        <v>341</v>
      </c>
    </row>
    <row r="100" spans="1:19" ht="12.75">
      <c r="A100" s="72" t="s">
        <v>321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N100" s="75"/>
      <c r="O100" s="76"/>
      <c r="P100" s="117">
        <f>(O54-O44)/O44</f>
        <v>0.15575483910233448</v>
      </c>
      <c r="Q100" s="56" t="s">
        <v>286</v>
      </c>
      <c r="R100" s="117">
        <v>0.0892</v>
      </c>
      <c r="S100" s="61" t="s">
        <v>338</v>
      </c>
    </row>
    <row r="101" spans="1:15" ht="12.75">
      <c r="A101" s="72" t="s">
        <v>281</v>
      </c>
      <c r="B101" s="75"/>
      <c r="C101" s="75"/>
      <c r="D101" s="75"/>
      <c r="F101" s="117">
        <v>0.15254034190765295</v>
      </c>
      <c r="G101" s="75"/>
      <c r="H101" s="75"/>
      <c r="I101" s="117">
        <v>0.21856243010703613</v>
      </c>
      <c r="J101" s="75"/>
      <c r="K101" s="75"/>
      <c r="L101" s="75"/>
      <c r="N101" s="75"/>
      <c r="O101" s="76"/>
    </row>
    <row r="102" spans="1:10" ht="12.75">
      <c r="A102" s="72" t="s">
        <v>282</v>
      </c>
      <c r="F102" s="113">
        <v>0.13216080402010041</v>
      </c>
      <c r="I102" s="117">
        <v>0.2778227788832962</v>
      </c>
      <c r="J102" s="75"/>
    </row>
    <row r="103" spans="1:19" ht="12.75">
      <c r="A103" s="72" t="s">
        <v>283</v>
      </c>
      <c r="F103" s="113">
        <v>0.055500311392834116</v>
      </c>
      <c r="I103" s="117">
        <v>0.17026097197263013</v>
      </c>
      <c r="J103" s="75"/>
      <c r="S103" s="56" t="s">
        <v>336</v>
      </c>
    </row>
    <row r="104" spans="1:19" ht="12.75">
      <c r="A104" s="72" t="s">
        <v>284</v>
      </c>
      <c r="F104" s="113">
        <v>0.06077324976510701</v>
      </c>
      <c r="I104" s="117">
        <v>0.17938187184766377</v>
      </c>
      <c r="J104" s="75"/>
      <c r="S104" s="56">
        <v>0.04619877951999266</v>
      </c>
    </row>
    <row r="105" spans="1:19" ht="12.75">
      <c r="A105" s="72" t="s">
        <v>285</v>
      </c>
      <c r="F105" s="113">
        <v>0.05230024766516117</v>
      </c>
      <c r="I105" s="113">
        <v>0.13654068924922766</v>
      </c>
      <c r="S105" s="56">
        <v>0.045266275097112126</v>
      </c>
    </row>
    <row r="106" spans="1:19" ht="12.75">
      <c r="A106" s="72" t="s">
        <v>286</v>
      </c>
      <c r="F106" s="113">
        <v>0.04359026857331715</v>
      </c>
      <c r="I106" s="113">
        <v>0.10203543267118097</v>
      </c>
      <c r="S106" s="56">
        <v>0.044290945404887934</v>
      </c>
    </row>
    <row r="107" spans="1:19" ht="12.75">
      <c r="A107" s="72" t="s">
        <v>287</v>
      </c>
      <c r="F107" s="113">
        <v>0.027993528687455967</v>
      </c>
      <c r="I107" s="113">
        <v>0.07377721193215546</v>
      </c>
      <c r="S107" s="56">
        <v>0.04381587975041814</v>
      </c>
    </row>
    <row r="108" spans="1:18" ht="12.75">
      <c r="A108" s="72" t="s">
        <v>288</v>
      </c>
      <c r="F108" s="113">
        <v>0.01321514670883332</v>
      </c>
      <c r="I108" s="113">
        <v>0.04163533668374089</v>
      </c>
      <c r="R108" s="61" t="s">
        <v>349</v>
      </c>
    </row>
    <row r="109" spans="9:20" ht="12.75">
      <c r="I109" s="113"/>
      <c r="O109" s="56">
        <v>5.03</v>
      </c>
      <c r="P109" s="56">
        <v>4.51</v>
      </c>
      <c r="R109" s="8">
        <v>0.0690948326804133</v>
      </c>
      <c r="S109" t="s">
        <v>350</v>
      </c>
      <c r="T109" t="s">
        <v>285</v>
      </c>
    </row>
    <row r="110" spans="15:20" ht="12.75">
      <c r="O110" s="56">
        <v>10.04</v>
      </c>
      <c r="P110" s="56">
        <v>4.22</v>
      </c>
      <c r="R110" s="8">
        <v>0.046952609195743254</v>
      </c>
      <c r="S110" t="s">
        <v>350</v>
      </c>
      <c r="T110" t="s">
        <v>286</v>
      </c>
    </row>
    <row r="111" spans="18:20" ht="12.75">
      <c r="R111" s="8">
        <v>0.03966072807910285</v>
      </c>
      <c r="S111" t="s">
        <v>351</v>
      </c>
      <c r="T111" t="s">
        <v>287</v>
      </c>
    </row>
    <row r="112" spans="15:20" ht="12.75">
      <c r="O112" s="56">
        <v>15.58</v>
      </c>
      <c r="P112" s="56">
        <v>8.92</v>
      </c>
      <c r="R112" s="8">
        <v>0.031412028606249975</v>
      </c>
      <c r="S112" t="s">
        <v>352</v>
      </c>
      <c r="T112" t="s">
        <v>288</v>
      </c>
    </row>
    <row r="113" spans="18:20" ht="12.75">
      <c r="R113" s="8">
        <v>0.02875507540203741</v>
      </c>
      <c r="S113" t="s">
        <v>353</v>
      </c>
      <c r="T113" t="s">
        <v>289</v>
      </c>
    </row>
    <row r="114" spans="15:20" ht="12.75">
      <c r="O114" s="56">
        <v>5.03</v>
      </c>
      <c r="P114" s="56">
        <v>4.22</v>
      </c>
      <c r="R114" s="115">
        <v>0.013971275083438256</v>
      </c>
      <c r="S114" t="s">
        <v>353</v>
      </c>
      <c r="T114" t="s">
        <v>290</v>
      </c>
    </row>
    <row r="116" spans="18:20" ht="12.75">
      <c r="R116" s="115">
        <v>0.11929162455244527</v>
      </c>
      <c r="T116" t="s">
        <v>333</v>
      </c>
    </row>
    <row r="117" spans="18:20" ht="12.75">
      <c r="R117" s="115">
        <v>0.0723185806103183</v>
      </c>
      <c r="T117" t="s">
        <v>330</v>
      </c>
    </row>
    <row r="118" spans="18:20" ht="12.75">
      <c r="R118" s="115">
        <v>0.04312809555396254</v>
      </c>
      <c r="T118" t="s">
        <v>331</v>
      </c>
    </row>
    <row r="121" ht="12.75">
      <c r="R121" s="61" t="s">
        <v>354</v>
      </c>
    </row>
    <row r="122" spans="18:20" ht="12.75">
      <c r="R122" s="115">
        <f aca="true" t="shared" si="53" ref="R122:R127">O81</f>
        <v>0.05033353074420765</v>
      </c>
      <c r="T122" t="s">
        <v>285</v>
      </c>
    </row>
    <row r="123" spans="18:20" ht="12.75">
      <c r="R123" s="115">
        <f t="shared" si="53"/>
        <v>0.10036936389475368</v>
      </c>
      <c r="T123" t="s">
        <v>286</v>
      </c>
    </row>
    <row r="124" spans="18:20" ht="12.75">
      <c r="R124" s="115">
        <f t="shared" si="53"/>
        <v>0.06401586784852831</v>
      </c>
      <c r="T124" t="s">
        <v>287</v>
      </c>
    </row>
    <row r="125" spans="18:20" ht="12.75">
      <c r="R125" s="115">
        <f t="shared" si="53"/>
        <v>0.06178822732923939</v>
      </c>
      <c r="T125" t="s">
        <v>288</v>
      </c>
    </row>
    <row r="126" spans="18:20" ht="12.75">
      <c r="R126" s="115">
        <f t="shared" si="53"/>
        <v>0.06138648561747752</v>
      </c>
      <c r="T126" t="s">
        <v>289</v>
      </c>
    </row>
    <row r="127" spans="18:20" ht="12.75">
      <c r="R127" s="115">
        <f t="shared" si="53"/>
        <v>0.06107601196349594</v>
      </c>
      <c r="T127" t="s">
        <v>290</v>
      </c>
    </row>
    <row r="129" spans="18:20" ht="12.75">
      <c r="R129" s="115">
        <f>(O54-O44)/O44</f>
        <v>0.15575483910233448</v>
      </c>
      <c r="T129" t="s">
        <v>333</v>
      </c>
    </row>
    <row r="130" spans="18:20" ht="12.75">
      <c r="R130" s="115">
        <f>(O64-O54)/O54</f>
        <v>0.1297595221730711</v>
      </c>
      <c r="T130" t="s">
        <v>330</v>
      </c>
    </row>
    <row r="131" spans="18:20" ht="12.75">
      <c r="R131" s="115">
        <f>(O74-O64)/O64</f>
        <v>0.12621173931094348</v>
      </c>
      <c r="T131" t="s">
        <v>331</v>
      </c>
    </row>
    <row r="133" ht="12.75">
      <c r="R133" s="61" t="s">
        <v>356</v>
      </c>
    </row>
    <row r="134" spans="16:18" ht="12.75">
      <c r="P134" s="56" t="s">
        <v>355</v>
      </c>
      <c r="Q134" t="s">
        <v>287</v>
      </c>
      <c r="R134" s="115">
        <f>R$122/R$109*R111</f>
        <v>0.028891660905245593</v>
      </c>
    </row>
    <row r="135" spans="16:18" ht="12.75">
      <c r="P135" s="56" t="s">
        <v>355</v>
      </c>
      <c r="Q135" t="s">
        <v>288</v>
      </c>
      <c r="R135" s="115">
        <f>R$122/R$109*R112</f>
        <v>0.02288272865358295</v>
      </c>
    </row>
    <row r="136" spans="16:18" ht="12.75">
      <c r="P136" s="56" t="s">
        <v>355</v>
      </c>
      <c r="Q136" t="s">
        <v>289</v>
      </c>
      <c r="R136" s="115">
        <f>R$122/R$109*R113</f>
        <v>0.020947217261454425</v>
      </c>
    </row>
    <row r="137" spans="16:18" ht="12.75">
      <c r="P137" s="56" t="s">
        <v>355</v>
      </c>
      <c r="Q137" t="s">
        <v>290</v>
      </c>
      <c r="R137" s="115">
        <f>R$122/R$109*R114</f>
        <v>0.010177658395971026</v>
      </c>
    </row>
    <row r="139" spans="16:18" ht="12.75">
      <c r="P139" s="56" t="s">
        <v>357</v>
      </c>
      <c r="Q139" t="s">
        <v>287</v>
      </c>
      <c r="R139" s="115">
        <f>R$123/R$110*R111</f>
        <v>0.08478170046539699</v>
      </c>
    </row>
    <row r="140" spans="16:18" ht="12.75">
      <c r="P140" s="56" t="s">
        <v>357</v>
      </c>
      <c r="Q140" t="s">
        <v>288</v>
      </c>
      <c r="R140" s="115">
        <f>R$123/R$110*R112</f>
        <v>0.06714867147657794</v>
      </c>
    </row>
    <row r="141" spans="16:18" ht="12.75">
      <c r="P141" s="56" t="s">
        <v>357</v>
      </c>
      <c r="Q141" t="s">
        <v>289</v>
      </c>
      <c r="R141" s="115">
        <f>R$123/R$110*R113</f>
        <v>0.061468972146277036</v>
      </c>
    </row>
    <row r="142" spans="16:18" ht="12.75">
      <c r="P142" s="56" t="s">
        <v>357</v>
      </c>
      <c r="Q142" t="s">
        <v>290</v>
      </c>
      <c r="R142" s="115">
        <f>R$123/R$110*R114</f>
        <v>0.029866029107716796</v>
      </c>
    </row>
    <row r="145" spans="16:18" ht="12.75">
      <c r="P145" s="81" t="s">
        <v>358</v>
      </c>
      <c r="Q145" s="81" t="s">
        <v>287</v>
      </c>
      <c r="R145" s="80">
        <f>R$129/R$116*R111</f>
        <v>0.05178360462285681</v>
      </c>
    </row>
    <row r="146" spans="16:18" ht="12.75">
      <c r="P146" s="81" t="s">
        <v>358</v>
      </c>
      <c r="Q146" s="81" t="s">
        <v>288</v>
      </c>
      <c r="R146" s="80">
        <f>R$129/R$116*R112</f>
        <v>0.041013570565412376</v>
      </c>
    </row>
    <row r="147" spans="16:18" ht="12.75">
      <c r="P147" s="81" t="s">
        <v>358</v>
      </c>
      <c r="Q147" s="81" t="s">
        <v>289</v>
      </c>
      <c r="R147" s="80">
        <f>R$129/R$116*R113</f>
        <v>0.03754448109348031</v>
      </c>
    </row>
    <row r="148" spans="16:18" ht="12.75">
      <c r="P148" s="81" t="s">
        <v>358</v>
      </c>
      <c r="Q148" s="81" t="s">
        <v>290</v>
      </c>
      <c r="R148" s="80">
        <f>R$129/R$116*R114</f>
        <v>0.018241797870048156</v>
      </c>
    </row>
    <row r="152" ht="12.75">
      <c r="R152" s="61" t="s">
        <v>361</v>
      </c>
    </row>
    <row r="153" spans="17:18" ht="12.75">
      <c r="Q153" s="56" t="s">
        <v>287</v>
      </c>
      <c r="R153" s="115">
        <v>0.041372738378624825</v>
      </c>
    </row>
    <row r="154" spans="17:18" ht="12.75">
      <c r="Q154" s="56" t="s">
        <v>288</v>
      </c>
      <c r="R154" s="115">
        <v>0.040537645721944335</v>
      </c>
    </row>
    <row r="155" spans="17:18" ht="12.75">
      <c r="Q155" s="56" t="s">
        <v>289</v>
      </c>
      <c r="R155" s="115">
        <v>0.039664201431671826</v>
      </c>
    </row>
    <row r="156" spans="17:18" ht="12.75">
      <c r="Q156" s="56" t="s">
        <v>290</v>
      </c>
      <c r="R156" s="115">
        <v>0.039238762334811196</v>
      </c>
    </row>
    <row r="158" spans="17:18" ht="12.75">
      <c r="Q158" s="56" t="s">
        <v>333</v>
      </c>
      <c r="R158" s="115">
        <v>0.08919370549417494</v>
      </c>
    </row>
    <row r="161" ht="12.75">
      <c r="R161" s="56" t="s">
        <v>362</v>
      </c>
    </row>
    <row r="162" spans="16:18" ht="12.75">
      <c r="P162" s="81" t="s">
        <v>358</v>
      </c>
      <c r="R162" s="80">
        <f>R$129/R$116*R153</f>
        <v>0.054018915691374896</v>
      </c>
    </row>
    <row r="163" spans="16:18" ht="12.75">
      <c r="P163" s="81" t="s">
        <v>358</v>
      </c>
      <c r="R163" s="80">
        <f>R$129/R$116*R154</f>
        <v>0.052928564856898445</v>
      </c>
    </row>
    <row r="164" spans="16:18" ht="12.75">
      <c r="P164" s="81" t="s">
        <v>358</v>
      </c>
      <c r="R164" s="80">
        <f>R$129/R$116*R155</f>
        <v>0.051788139655995616</v>
      </c>
    </row>
    <row r="165" spans="16:18" ht="12.75">
      <c r="P165" s="81" t="s">
        <v>358</v>
      </c>
      <c r="R165" s="80">
        <f>R$129/R$116*R156</f>
        <v>0.051232658931108364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/>
  <dimension ref="A1:AK104"/>
  <sheetViews>
    <sheetView workbookViewId="0" topLeftCell="A1">
      <pane xSplit="1" ySplit="1" topLeftCell="M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7" sqref="M27"/>
    </sheetView>
  </sheetViews>
  <sheetFormatPr defaultColWidth="9.140625" defaultRowHeight="12.75"/>
  <cols>
    <col min="1" max="1" width="9.140625" style="62" customWidth="1"/>
    <col min="2" max="10" width="12.7109375" style="59" customWidth="1"/>
    <col min="11" max="11" width="11.140625" style="56" customWidth="1"/>
    <col min="12" max="12" width="12.7109375" style="59" customWidth="1"/>
    <col min="13" max="13" width="10.28125" style="56" customWidth="1"/>
    <col min="14" max="14" width="12.7109375" style="59" customWidth="1"/>
    <col min="15" max="15" width="18.140625" style="56" customWidth="1"/>
    <col min="16" max="16" width="15.7109375" style="56" customWidth="1"/>
    <col min="17" max="17" width="9.140625" style="56" customWidth="1"/>
    <col min="18" max="18" width="10.7109375" style="56" customWidth="1"/>
    <col min="19" max="19" width="12.421875" style="56" customWidth="1"/>
    <col min="20" max="20" width="9.140625" style="56" customWidth="1"/>
    <col min="21" max="21" width="18.28125" style="56" customWidth="1"/>
    <col min="22" max="22" width="20.57421875" style="56" bestFit="1" customWidth="1"/>
    <col min="23" max="35" width="15.7109375" style="56" customWidth="1"/>
    <col min="36" max="16384" width="9.140625" style="56" customWidth="1"/>
  </cols>
  <sheetData>
    <row r="1" spans="1:35" ht="63.75">
      <c r="A1" s="40" t="s">
        <v>98</v>
      </c>
      <c r="B1" s="52" t="s">
        <v>99</v>
      </c>
      <c r="C1" s="52" t="s">
        <v>100</v>
      </c>
      <c r="D1" s="52" t="s">
        <v>101</v>
      </c>
      <c r="E1" s="52" t="s">
        <v>102</v>
      </c>
      <c r="F1" s="52" t="s">
        <v>103</v>
      </c>
      <c r="G1" s="52" t="s">
        <v>104</v>
      </c>
      <c r="H1" s="52" t="s">
        <v>105</v>
      </c>
      <c r="I1" s="53" t="s">
        <v>106</v>
      </c>
      <c r="J1" s="53" t="s">
        <v>107</v>
      </c>
      <c r="K1" s="53" t="s">
        <v>108</v>
      </c>
      <c r="L1" s="53" t="s">
        <v>109</v>
      </c>
      <c r="M1" s="52" t="s">
        <v>110</v>
      </c>
      <c r="N1" s="54" t="s">
        <v>111</v>
      </c>
      <c r="O1" s="55" t="s">
        <v>112</v>
      </c>
      <c r="P1" s="55" t="s">
        <v>113</v>
      </c>
      <c r="U1" s="55" t="s">
        <v>112</v>
      </c>
      <c r="W1" s="52" t="s">
        <v>99</v>
      </c>
      <c r="X1" s="52" t="s">
        <v>100</v>
      </c>
      <c r="Y1" s="52" t="s">
        <v>101</v>
      </c>
      <c r="Z1" s="52" t="s">
        <v>102</v>
      </c>
      <c r="AA1" s="52" t="s">
        <v>103</v>
      </c>
      <c r="AB1" s="52" t="s">
        <v>104</v>
      </c>
      <c r="AC1" s="52" t="s">
        <v>105</v>
      </c>
      <c r="AD1" s="53" t="s">
        <v>106</v>
      </c>
      <c r="AE1" s="53" t="s">
        <v>107</v>
      </c>
      <c r="AF1" s="53" t="s">
        <v>108</v>
      </c>
      <c r="AG1" s="53" t="s">
        <v>109</v>
      </c>
      <c r="AH1" s="52" t="s">
        <v>110</v>
      </c>
      <c r="AI1" s="54" t="s">
        <v>111</v>
      </c>
    </row>
    <row r="2" spans="1:35" ht="12.75">
      <c r="A2" s="57">
        <v>1958</v>
      </c>
      <c r="B2" s="58">
        <v>15945</v>
      </c>
      <c r="C2" s="58">
        <v>872.6</v>
      </c>
      <c r="D2" s="59">
        <v>2817</v>
      </c>
      <c r="E2" s="59">
        <v>3976</v>
      </c>
      <c r="F2" s="59">
        <v>7761</v>
      </c>
      <c r="G2" s="59">
        <v>2989</v>
      </c>
      <c r="H2" s="59">
        <v>2481</v>
      </c>
      <c r="I2" s="59">
        <v>8816</v>
      </c>
      <c r="J2" s="59">
        <v>555</v>
      </c>
      <c r="K2" s="59">
        <v>1365.2</v>
      </c>
      <c r="N2" s="59">
        <v>5648</v>
      </c>
      <c r="O2" s="60">
        <v>50433</v>
      </c>
      <c r="U2" s="60">
        <f>O2</f>
        <v>50433</v>
      </c>
      <c r="W2" s="60">
        <f aca="true" t="shared" si="0" ref="W2:W33">B2</f>
        <v>15945</v>
      </c>
      <c r="X2" s="60">
        <f aca="true" t="shared" si="1" ref="X2:AI17">C2</f>
        <v>872.6</v>
      </c>
      <c r="Y2" s="60">
        <f t="shared" si="1"/>
        <v>2817</v>
      </c>
      <c r="Z2" s="60">
        <f t="shared" si="1"/>
        <v>3976</v>
      </c>
      <c r="AA2" s="60">
        <f t="shared" si="1"/>
        <v>7761</v>
      </c>
      <c r="AB2" s="60">
        <f t="shared" si="1"/>
        <v>2989</v>
      </c>
      <c r="AC2" s="60">
        <f t="shared" si="1"/>
        <v>2481</v>
      </c>
      <c r="AD2" s="60">
        <f t="shared" si="1"/>
        <v>8816</v>
      </c>
      <c r="AE2" s="60">
        <f t="shared" si="1"/>
        <v>555</v>
      </c>
      <c r="AF2" s="60">
        <f t="shared" si="1"/>
        <v>1365.2</v>
      </c>
      <c r="AG2" s="60">
        <f t="shared" si="1"/>
        <v>0</v>
      </c>
      <c r="AH2" s="60">
        <f t="shared" si="1"/>
        <v>0</v>
      </c>
      <c r="AI2" s="60">
        <f t="shared" si="1"/>
        <v>5648</v>
      </c>
    </row>
    <row r="3" spans="1:35" ht="12.75">
      <c r="A3" s="57">
        <v>1959</v>
      </c>
      <c r="B3" s="58">
        <v>16675</v>
      </c>
      <c r="C3" s="58">
        <v>888.5</v>
      </c>
      <c r="D3" s="59">
        <v>3004</v>
      </c>
      <c r="E3" s="59">
        <v>4011</v>
      </c>
      <c r="F3" s="59">
        <v>8035</v>
      </c>
      <c r="G3" s="59">
        <v>3092</v>
      </c>
      <c r="H3" s="59">
        <v>2549</v>
      </c>
      <c r="I3" s="59">
        <v>9157</v>
      </c>
      <c r="J3" s="59">
        <v>607.6</v>
      </c>
      <c r="K3" s="59">
        <v>1453.7</v>
      </c>
      <c r="N3" s="59">
        <v>5850</v>
      </c>
      <c r="O3" s="60">
        <v>52373</v>
      </c>
      <c r="U3" s="60">
        <f aca="true" t="shared" si="2" ref="U3:U54">O3</f>
        <v>52373</v>
      </c>
      <c r="W3" s="60">
        <f t="shared" si="0"/>
        <v>16675</v>
      </c>
      <c r="X3" s="60">
        <f t="shared" si="1"/>
        <v>888.5</v>
      </c>
      <c r="Y3" s="60">
        <f t="shared" si="1"/>
        <v>3004</v>
      </c>
      <c r="Z3" s="60">
        <f t="shared" si="1"/>
        <v>4011</v>
      </c>
      <c r="AA3" s="60">
        <f t="shared" si="1"/>
        <v>8035</v>
      </c>
      <c r="AB3" s="60">
        <f t="shared" si="1"/>
        <v>3092</v>
      </c>
      <c r="AC3" s="60">
        <f t="shared" si="1"/>
        <v>2549</v>
      </c>
      <c r="AD3" s="60">
        <f t="shared" si="1"/>
        <v>9157</v>
      </c>
      <c r="AE3" s="60">
        <f t="shared" si="1"/>
        <v>607.6</v>
      </c>
      <c r="AF3" s="60">
        <f t="shared" si="1"/>
        <v>1453.7</v>
      </c>
      <c r="AG3" s="60">
        <f t="shared" si="1"/>
        <v>0</v>
      </c>
      <c r="AH3" s="60">
        <f t="shared" si="1"/>
        <v>0</v>
      </c>
      <c r="AI3" s="60">
        <f t="shared" si="1"/>
        <v>5850</v>
      </c>
    </row>
    <row r="4" spans="1:35" ht="12.75">
      <c r="A4" s="57">
        <v>1960</v>
      </c>
      <c r="B4" s="58">
        <v>16796</v>
      </c>
      <c r="C4" s="58">
        <v>911.3</v>
      </c>
      <c r="D4" s="59">
        <v>2926</v>
      </c>
      <c r="E4" s="59">
        <v>4004</v>
      </c>
      <c r="F4" s="59">
        <v>8238</v>
      </c>
      <c r="G4" s="59">
        <v>3153</v>
      </c>
      <c r="H4" s="59">
        <v>2628</v>
      </c>
      <c r="I4" s="59">
        <v>9379</v>
      </c>
      <c r="J4" s="59">
        <v>655.7</v>
      </c>
      <c r="K4" s="59">
        <v>1547.6</v>
      </c>
      <c r="N4" s="59">
        <v>6083</v>
      </c>
      <c r="O4" s="60">
        <v>53207</v>
      </c>
      <c r="U4" s="60">
        <f t="shared" si="2"/>
        <v>53207</v>
      </c>
      <c r="W4" s="60">
        <f t="shared" si="0"/>
        <v>16796</v>
      </c>
      <c r="X4" s="60">
        <f t="shared" si="1"/>
        <v>911.3</v>
      </c>
      <c r="Y4" s="60">
        <f t="shared" si="1"/>
        <v>2926</v>
      </c>
      <c r="Z4" s="60">
        <f t="shared" si="1"/>
        <v>4004</v>
      </c>
      <c r="AA4" s="60">
        <f t="shared" si="1"/>
        <v>8238</v>
      </c>
      <c r="AB4" s="60">
        <f t="shared" si="1"/>
        <v>3153</v>
      </c>
      <c r="AC4" s="60">
        <f t="shared" si="1"/>
        <v>2628</v>
      </c>
      <c r="AD4" s="60">
        <f t="shared" si="1"/>
        <v>9379</v>
      </c>
      <c r="AE4" s="60">
        <f t="shared" si="1"/>
        <v>655.7</v>
      </c>
      <c r="AF4" s="60">
        <f t="shared" si="1"/>
        <v>1547.6</v>
      </c>
      <c r="AG4" s="60">
        <f t="shared" si="1"/>
        <v>0</v>
      </c>
      <c r="AH4" s="60">
        <f t="shared" si="1"/>
        <v>0</v>
      </c>
      <c r="AI4" s="60">
        <f t="shared" si="1"/>
        <v>6083</v>
      </c>
    </row>
    <row r="5" spans="1:35" ht="12.75">
      <c r="A5" s="57">
        <v>1961</v>
      </c>
      <c r="B5" s="58">
        <v>16326</v>
      </c>
      <c r="C5" s="58">
        <v>917.3</v>
      </c>
      <c r="D5" s="59">
        <v>2859</v>
      </c>
      <c r="E5" s="59">
        <v>3903</v>
      </c>
      <c r="F5" s="59">
        <v>8195</v>
      </c>
      <c r="G5" s="59">
        <v>3142</v>
      </c>
      <c r="H5" s="59">
        <v>2688</v>
      </c>
      <c r="I5" s="59">
        <v>9687</v>
      </c>
      <c r="J5" s="59">
        <v>693.2</v>
      </c>
      <c r="K5" s="59">
        <v>1640.1</v>
      </c>
      <c r="N5" s="59">
        <v>6315</v>
      </c>
      <c r="O5" s="60">
        <v>53115</v>
      </c>
      <c r="U5" s="60">
        <f t="shared" si="2"/>
        <v>53115</v>
      </c>
      <c r="W5" s="60">
        <f t="shared" si="0"/>
        <v>16326</v>
      </c>
      <c r="X5" s="60">
        <f t="shared" si="1"/>
        <v>917.3</v>
      </c>
      <c r="Y5" s="60">
        <f t="shared" si="1"/>
        <v>2859</v>
      </c>
      <c r="Z5" s="60">
        <f t="shared" si="1"/>
        <v>3903</v>
      </c>
      <c r="AA5" s="60">
        <f t="shared" si="1"/>
        <v>8195</v>
      </c>
      <c r="AB5" s="60">
        <f t="shared" si="1"/>
        <v>3142</v>
      </c>
      <c r="AC5" s="60">
        <f t="shared" si="1"/>
        <v>2688</v>
      </c>
      <c r="AD5" s="60">
        <f t="shared" si="1"/>
        <v>9687</v>
      </c>
      <c r="AE5" s="60">
        <f t="shared" si="1"/>
        <v>693.2</v>
      </c>
      <c r="AF5" s="60">
        <f t="shared" si="1"/>
        <v>1640.1</v>
      </c>
      <c r="AG5" s="60">
        <f t="shared" si="1"/>
        <v>0</v>
      </c>
      <c r="AH5" s="60">
        <f t="shared" si="1"/>
        <v>0</v>
      </c>
      <c r="AI5" s="60">
        <f t="shared" si="1"/>
        <v>6315</v>
      </c>
    </row>
    <row r="6" spans="1:35" ht="12.75">
      <c r="A6" s="57">
        <v>1962</v>
      </c>
      <c r="B6" s="58">
        <v>16853</v>
      </c>
      <c r="C6" s="58">
        <v>926.4</v>
      </c>
      <c r="D6" s="59">
        <v>2948</v>
      </c>
      <c r="E6" s="59">
        <v>3906</v>
      </c>
      <c r="F6" s="59">
        <v>8359</v>
      </c>
      <c r="G6" s="59">
        <v>3207</v>
      </c>
      <c r="H6" s="59">
        <v>2754</v>
      </c>
      <c r="I6" s="59">
        <v>10038</v>
      </c>
      <c r="J6" s="59">
        <v>753.7</v>
      </c>
      <c r="K6" s="59">
        <v>1739.3</v>
      </c>
      <c r="N6" s="59">
        <v>6550</v>
      </c>
      <c r="O6" s="60">
        <v>54615</v>
      </c>
      <c r="U6" s="60">
        <f t="shared" si="2"/>
        <v>54615</v>
      </c>
      <c r="W6" s="60">
        <f t="shared" si="0"/>
        <v>16853</v>
      </c>
      <c r="X6" s="60">
        <f t="shared" si="1"/>
        <v>926.4</v>
      </c>
      <c r="Y6" s="60">
        <f t="shared" si="1"/>
        <v>2948</v>
      </c>
      <c r="Z6" s="60">
        <f t="shared" si="1"/>
        <v>3906</v>
      </c>
      <c r="AA6" s="60">
        <f t="shared" si="1"/>
        <v>8359</v>
      </c>
      <c r="AB6" s="60">
        <f t="shared" si="1"/>
        <v>3207</v>
      </c>
      <c r="AC6" s="60">
        <f t="shared" si="1"/>
        <v>2754</v>
      </c>
      <c r="AD6" s="60">
        <f t="shared" si="1"/>
        <v>10038</v>
      </c>
      <c r="AE6" s="60">
        <f t="shared" si="1"/>
        <v>753.7</v>
      </c>
      <c r="AF6" s="60">
        <f t="shared" si="1"/>
        <v>1739.3</v>
      </c>
      <c r="AG6" s="60">
        <f t="shared" si="1"/>
        <v>0</v>
      </c>
      <c r="AH6" s="60">
        <f t="shared" si="1"/>
        <v>0</v>
      </c>
      <c r="AI6" s="60">
        <f t="shared" si="1"/>
        <v>6550</v>
      </c>
    </row>
    <row r="7" spans="1:35" ht="12.75">
      <c r="A7" s="57">
        <v>1963</v>
      </c>
      <c r="B7" s="58">
        <v>16996</v>
      </c>
      <c r="C7" s="58">
        <v>930.6</v>
      </c>
      <c r="D7" s="59">
        <v>3010</v>
      </c>
      <c r="E7" s="59">
        <v>3903</v>
      </c>
      <c r="F7" s="59">
        <v>8520</v>
      </c>
      <c r="G7" s="59">
        <v>3258</v>
      </c>
      <c r="H7" s="59">
        <v>2830</v>
      </c>
      <c r="I7" s="59">
        <v>10338</v>
      </c>
      <c r="J7" s="59">
        <v>813.7</v>
      </c>
      <c r="K7" s="59">
        <v>1837</v>
      </c>
      <c r="N7" s="59">
        <v>6868</v>
      </c>
      <c r="O7" s="60">
        <v>55723</v>
      </c>
      <c r="U7" s="60">
        <f t="shared" si="2"/>
        <v>55723</v>
      </c>
      <c r="W7" s="60">
        <f t="shared" si="0"/>
        <v>16996</v>
      </c>
      <c r="X7" s="60">
        <f t="shared" si="1"/>
        <v>930.6</v>
      </c>
      <c r="Y7" s="60">
        <f t="shared" si="1"/>
        <v>3010</v>
      </c>
      <c r="Z7" s="60">
        <f t="shared" si="1"/>
        <v>3903</v>
      </c>
      <c r="AA7" s="60">
        <f t="shared" si="1"/>
        <v>8520</v>
      </c>
      <c r="AB7" s="60">
        <f t="shared" si="1"/>
        <v>3258</v>
      </c>
      <c r="AC7" s="60">
        <f t="shared" si="1"/>
        <v>2830</v>
      </c>
      <c r="AD7" s="60">
        <f t="shared" si="1"/>
        <v>10338</v>
      </c>
      <c r="AE7" s="60">
        <f t="shared" si="1"/>
        <v>813.7</v>
      </c>
      <c r="AF7" s="60">
        <f t="shared" si="1"/>
        <v>1837</v>
      </c>
      <c r="AG7" s="60">
        <f t="shared" si="1"/>
        <v>0</v>
      </c>
      <c r="AH7" s="60">
        <f t="shared" si="1"/>
        <v>0</v>
      </c>
      <c r="AI7" s="60">
        <f t="shared" si="1"/>
        <v>6868</v>
      </c>
    </row>
    <row r="8" spans="1:35" ht="12.75">
      <c r="A8" s="57">
        <v>1964</v>
      </c>
      <c r="B8" s="58">
        <v>17274</v>
      </c>
      <c r="C8" s="58">
        <v>951.5</v>
      </c>
      <c r="D8" s="59">
        <v>3097</v>
      </c>
      <c r="E8" s="59">
        <v>3951</v>
      </c>
      <c r="F8" s="59">
        <v>8812</v>
      </c>
      <c r="G8" s="59">
        <v>3347</v>
      </c>
      <c r="H8" s="59">
        <v>2911</v>
      </c>
      <c r="I8" s="59">
        <v>10751</v>
      </c>
      <c r="J8" s="59">
        <v>880.8</v>
      </c>
      <c r="K8" s="59">
        <v>1963</v>
      </c>
      <c r="N8" s="59">
        <v>7248</v>
      </c>
      <c r="O8" s="60">
        <v>57391</v>
      </c>
      <c r="U8" s="60">
        <f t="shared" si="2"/>
        <v>57391</v>
      </c>
      <c r="W8" s="60">
        <f t="shared" si="0"/>
        <v>17274</v>
      </c>
      <c r="X8" s="60">
        <f t="shared" si="1"/>
        <v>951.5</v>
      </c>
      <c r="Y8" s="60">
        <f t="shared" si="1"/>
        <v>3097</v>
      </c>
      <c r="Z8" s="60">
        <f t="shared" si="1"/>
        <v>3951</v>
      </c>
      <c r="AA8" s="60">
        <f t="shared" si="1"/>
        <v>8812</v>
      </c>
      <c r="AB8" s="60">
        <f t="shared" si="1"/>
        <v>3347</v>
      </c>
      <c r="AC8" s="60">
        <f t="shared" si="1"/>
        <v>2911</v>
      </c>
      <c r="AD8" s="60">
        <f t="shared" si="1"/>
        <v>10751</v>
      </c>
      <c r="AE8" s="60">
        <f t="shared" si="1"/>
        <v>880.8</v>
      </c>
      <c r="AF8" s="60">
        <f t="shared" si="1"/>
        <v>1963</v>
      </c>
      <c r="AG8" s="60">
        <f t="shared" si="1"/>
        <v>0</v>
      </c>
      <c r="AH8" s="60">
        <f t="shared" si="1"/>
        <v>0</v>
      </c>
      <c r="AI8" s="60">
        <f t="shared" si="1"/>
        <v>7248</v>
      </c>
    </row>
    <row r="9" spans="1:35" ht="12.75">
      <c r="A9" s="57">
        <v>1965</v>
      </c>
      <c r="B9" s="58">
        <v>18062</v>
      </c>
      <c r="C9" s="58">
        <v>979.4</v>
      </c>
      <c r="D9" s="59">
        <v>3232</v>
      </c>
      <c r="E9" s="59">
        <v>4036</v>
      </c>
      <c r="F9" s="59">
        <v>9239</v>
      </c>
      <c r="G9" s="59">
        <v>3477</v>
      </c>
      <c r="H9" s="59">
        <v>2977</v>
      </c>
      <c r="I9" s="59">
        <v>11025</v>
      </c>
      <c r="J9" s="59">
        <v>954.9</v>
      </c>
      <c r="K9" s="59">
        <v>2079.5</v>
      </c>
      <c r="N9" s="59">
        <v>7696</v>
      </c>
      <c r="O9" s="60">
        <v>59744</v>
      </c>
      <c r="U9" s="60">
        <f t="shared" si="2"/>
        <v>59744</v>
      </c>
      <c r="W9" s="60">
        <f t="shared" si="0"/>
        <v>18062</v>
      </c>
      <c r="X9" s="60">
        <f t="shared" si="1"/>
        <v>979.4</v>
      </c>
      <c r="Y9" s="60">
        <f t="shared" si="1"/>
        <v>3232</v>
      </c>
      <c r="Z9" s="60">
        <f t="shared" si="1"/>
        <v>4036</v>
      </c>
      <c r="AA9" s="60">
        <f t="shared" si="1"/>
        <v>9239</v>
      </c>
      <c r="AB9" s="60">
        <f t="shared" si="1"/>
        <v>3477</v>
      </c>
      <c r="AC9" s="60">
        <f t="shared" si="1"/>
        <v>2977</v>
      </c>
      <c r="AD9" s="60">
        <f t="shared" si="1"/>
        <v>11025</v>
      </c>
      <c r="AE9" s="60">
        <f t="shared" si="1"/>
        <v>954.9</v>
      </c>
      <c r="AF9" s="60">
        <f t="shared" si="1"/>
        <v>2079.5</v>
      </c>
      <c r="AG9" s="60">
        <f t="shared" si="1"/>
        <v>0</v>
      </c>
      <c r="AH9" s="60">
        <f t="shared" si="1"/>
        <v>0</v>
      </c>
      <c r="AI9" s="60">
        <f t="shared" si="1"/>
        <v>7696</v>
      </c>
    </row>
    <row r="10" spans="1:35" ht="12.75">
      <c r="A10" s="57">
        <v>1966</v>
      </c>
      <c r="B10" s="58">
        <v>19213</v>
      </c>
      <c r="C10" s="58">
        <v>1016.9</v>
      </c>
      <c r="D10" s="59">
        <v>3317</v>
      </c>
      <c r="E10" s="59">
        <v>4158</v>
      </c>
      <c r="F10" s="59">
        <v>9637</v>
      </c>
      <c r="G10" s="59">
        <v>3608</v>
      </c>
      <c r="H10" s="59">
        <v>3058</v>
      </c>
      <c r="I10" s="59">
        <v>11381</v>
      </c>
      <c r="J10" s="59">
        <v>1051.5</v>
      </c>
      <c r="K10" s="59">
        <v>2204.2</v>
      </c>
      <c r="N10" s="59">
        <v>8220</v>
      </c>
      <c r="O10" s="60">
        <v>62592</v>
      </c>
      <c r="U10" s="60">
        <f t="shared" si="2"/>
        <v>62592</v>
      </c>
      <c r="W10" s="60">
        <f t="shared" si="0"/>
        <v>19213</v>
      </c>
      <c r="X10" s="60">
        <f t="shared" si="1"/>
        <v>1016.9</v>
      </c>
      <c r="Y10" s="60">
        <f t="shared" si="1"/>
        <v>3317</v>
      </c>
      <c r="Z10" s="60">
        <f t="shared" si="1"/>
        <v>4158</v>
      </c>
      <c r="AA10" s="60">
        <f t="shared" si="1"/>
        <v>9637</v>
      </c>
      <c r="AB10" s="60">
        <f t="shared" si="1"/>
        <v>3608</v>
      </c>
      <c r="AC10" s="60">
        <f t="shared" si="1"/>
        <v>3058</v>
      </c>
      <c r="AD10" s="60">
        <f t="shared" si="1"/>
        <v>11381</v>
      </c>
      <c r="AE10" s="60">
        <f t="shared" si="1"/>
        <v>1051.5</v>
      </c>
      <c r="AF10" s="60">
        <f t="shared" si="1"/>
        <v>2204.2</v>
      </c>
      <c r="AG10" s="60">
        <f t="shared" si="1"/>
        <v>0</v>
      </c>
      <c r="AH10" s="60">
        <f t="shared" si="1"/>
        <v>0</v>
      </c>
      <c r="AI10" s="60">
        <f t="shared" si="1"/>
        <v>8220</v>
      </c>
    </row>
    <row r="11" spans="1:35" ht="12.75">
      <c r="A11" s="57">
        <v>1967</v>
      </c>
      <c r="B11" s="58">
        <v>19447</v>
      </c>
      <c r="C11" s="58">
        <v>1047.8</v>
      </c>
      <c r="D11" s="59">
        <v>3248</v>
      </c>
      <c r="E11" s="59">
        <v>4268</v>
      </c>
      <c r="F11" s="59">
        <v>9906</v>
      </c>
      <c r="G11" s="59">
        <v>3700</v>
      </c>
      <c r="H11" s="59">
        <v>3185</v>
      </c>
      <c r="I11" s="59">
        <v>11823</v>
      </c>
      <c r="J11" s="59">
        <v>1144.6</v>
      </c>
      <c r="K11" s="59">
        <v>2434.3</v>
      </c>
      <c r="N11" s="59">
        <v>8672</v>
      </c>
      <c r="O11" s="60">
        <v>64249</v>
      </c>
      <c r="U11" s="60">
        <f t="shared" si="2"/>
        <v>64249</v>
      </c>
      <c r="W11" s="60">
        <f t="shared" si="0"/>
        <v>19447</v>
      </c>
      <c r="X11" s="60">
        <f t="shared" si="1"/>
        <v>1047.8</v>
      </c>
      <c r="Y11" s="60">
        <f t="shared" si="1"/>
        <v>3248</v>
      </c>
      <c r="Z11" s="60">
        <f t="shared" si="1"/>
        <v>4268</v>
      </c>
      <c r="AA11" s="60">
        <f t="shared" si="1"/>
        <v>9906</v>
      </c>
      <c r="AB11" s="60">
        <f t="shared" si="1"/>
        <v>3700</v>
      </c>
      <c r="AC11" s="60">
        <f t="shared" si="1"/>
        <v>3185</v>
      </c>
      <c r="AD11" s="60">
        <f t="shared" si="1"/>
        <v>11823</v>
      </c>
      <c r="AE11" s="60">
        <f t="shared" si="1"/>
        <v>1144.6</v>
      </c>
      <c r="AF11" s="60">
        <f t="shared" si="1"/>
        <v>2434.3</v>
      </c>
      <c r="AG11" s="60">
        <f t="shared" si="1"/>
        <v>0</v>
      </c>
      <c r="AH11" s="60">
        <f t="shared" si="1"/>
        <v>0</v>
      </c>
      <c r="AI11" s="60">
        <f t="shared" si="1"/>
        <v>8672</v>
      </c>
    </row>
    <row r="12" spans="1:35" ht="12.75">
      <c r="A12" s="57">
        <v>1968</v>
      </c>
      <c r="B12" s="58">
        <v>19781</v>
      </c>
      <c r="C12" s="58">
        <v>1065.1</v>
      </c>
      <c r="D12" s="59">
        <v>3350</v>
      </c>
      <c r="E12" s="59">
        <v>4318</v>
      </c>
      <c r="F12" s="59">
        <v>10308</v>
      </c>
      <c r="G12" s="59">
        <v>3791</v>
      </c>
      <c r="H12" s="59">
        <v>3337</v>
      </c>
      <c r="I12" s="59">
        <v>12293</v>
      </c>
      <c r="J12" s="59">
        <v>1210</v>
      </c>
      <c r="K12" s="59">
        <v>2638.6</v>
      </c>
      <c r="N12" s="59">
        <v>9102</v>
      </c>
      <c r="O12" s="60">
        <v>66280</v>
      </c>
      <c r="U12" s="60">
        <f t="shared" si="2"/>
        <v>66280</v>
      </c>
      <c r="W12" s="60">
        <f t="shared" si="0"/>
        <v>19781</v>
      </c>
      <c r="X12" s="60">
        <f t="shared" si="1"/>
        <v>1065.1</v>
      </c>
      <c r="Y12" s="60">
        <f t="shared" si="1"/>
        <v>3350</v>
      </c>
      <c r="Z12" s="60">
        <f t="shared" si="1"/>
        <v>4318</v>
      </c>
      <c r="AA12" s="60">
        <f t="shared" si="1"/>
        <v>10308</v>
      </c>
      <c r="AB12" s="60">
        <f t="shared" si="1"/>
        <v>3791</v>
      </c>
      <c r="AC12" s="60">
        <f t="shared" si="1"/>
        <v>3337</v>
      </c>
      <c r="AD12" s="60">
        <f t="shared" si="1"/>
        <v>12293</v>
      </c>
      <c r="AE12" s="60">
        <f t="shared" si="1"/>
        <v>1210</v>
      </c>
      <c r="AF12" s="60">
        <f t="shared" si="1"/>
        <v>2638.6</v>
      </c>
      <c r="AG12" s="60">
        <f t="shared" si="1"/>
        <v>0</v>
      </c>
      <c r="AH12" s="60">
        <f t="shared" si="1"/>
        <v>0</v>
      </c>
      <c r="AI12" s="60">
        <f t="shared" si="1"/>
        <v>9102</v>
      </c>
    </row>
    <row r="13" spans="1:35" ht="12.75">
      <c r="A13" s="57">
        <v>1969</v>
      </c>
      <c r="B13" s="58">
        <v>20166</v>
      </c>
      <c r="C13" s="58">
        <v>1093.6</v>
      </c>
      <c r="D13" s="59">
        <v>3575</v>
      </c>
      <c r="E13" s="59">
        <v>4442</v>
      </c>
      <c r="F13" s="59">
        <v>10785</v>
      </c>
      <c r="G13" s="59">
        <v>3919</v>
      </c>
      <c r="H13" s="59">
        <v>3512</v>
      </c>
      <c r="I13" s="59">
        <v>12795</v>
      </c>
      <c r="J13" s="59">
        <v>1328.5</v>
      </c>
      <c r="K13" s="59">
        <v>2862.1</v>
      </c>
      <c r="N13" s="59">
        <v>9437</v>
      </c>
      <c r="O13" s="60">
        <v>68631</v>
      </c>
      <c r="U13" s="60">
        <f t="shared" si="2"/>
        <v>68631</v>
      </c>
      <c r="W13" s="60">
        <f t="shared" si="0"/>
        <v>20166</v>
      </c>
      <c r="X13" s="60">
        <f t="shared" si="1"/>
        <v>1093.6</v>
      </c>
      <c r="Y13" s="60">
        <f t="shared" si="1"/>
        <v>3575</v>
      </c>
      <c r="Z13" s="60">
        <f t="shared" si="1"/>
        <v>4442</v>
      </c>
      <c r="AA13" s="60">
        <f t="shared" si="1"/>
        <v>10785</v>
      </c>
      <c r="AB13" s="60">
        <f t="shared" si="1"/>
        <v>3919</v>
      </c>
      <c r="AC13" s="60">
        <f t="shared" si="1"/>
        <v>3512</v>
      </c>
      <c r="AD13" s="60">
        <f t="shared" si="1"/>
        <v>12795</v>
      </c>
      <c r="AE13" s="60">
        <f t="shared" si="1"/>
        <v>1328.5</v>
      </c>
      <c r="AF13" s="60">
        <f t="shared" si="1"/>
        <v>2862.1</v>
      </c>
      <c r="AG13" s="60">
        <f t="shared" si="1"/>
        <v>0</v>
      </c>
      <c r="AH13" s="60">
        <f t="shared" si="1"/>
        <v>0</v>
      </c>
      <c r="AI13" s="60">
        <f t="shared" si="1"/>
        <v>9437</v>
      </c>
    </row>
    <row r="14" spans="1:35" ht="12.75">
      <c r="A14" s="57">
        <v>1970</v>
      </c>
      <c r="B14" s="58">
        <v>19366</v>
      </c>
      <c r="C14" s="58">
        <v>1104.3</v>
      </c>
      <c r="D14" s="59">
        <v>3588</v>
      </c>
      <c r="E14" s="59">
        <v>4515</v>
      </c>
      <c r="F14" s="59">
        <v>11034</v>
      </c>
      <c r="G14" s="59">
        <v>4006</v>
      </c>
      <c r="H14" s="59">
        <v>3645</v>
      </c>
      <c r="I14" s="59">
        <v>13104</v>
      </c>
      <c r="J14" s="59">
        <v>1397.3</v>
      </c>
      <c r="K14" s="59">
        <v>3052.5</v>
      </c>
      <c r="L14" s="41"/>
      <c r="N14" s="59">
        <v>9823</v>
      </c>
      <c r="O14" s="60">
        <v>69081</v>
      </c>
      <c r="U14" s="60">
        <f t="shared" si="2"/>
        <v>69081</v>
      </c>
      <c r="W14" s="60">
        <f t="shared" si="0"/>
        <v>19366</v>
      </c>
      <c r="X14" s="60">
        <f t="shared" si="1"/>
        <v>1104.3</v>
      </c>
      <c r="Y14" s="60">
        <f t="shared" si="1"/>
        <v>3588</v>
      </c>
      <c r="Z14" s="60">
        <f t="shared" si="1"/>
        <v>4515</v>
      </c>
      <c r="AA14" s="60">
        <f t="shared" si="1"/>
        <v>11034</v>
      </c>
      <c r="AB14" s="60">
        <f t="shared" si="1"/>
        <v>4006</v>
      </c>
      <c r="AC14" s="60">
        <f t="shared" si="1"/>
        <v>3645</v>
      </c>
      <c r="AD14" s="60">
        <f t="shared" si="1"/>
        <v>13104</v>
      </c>
      <c r="AE14" s="60">
        <f t="shared" si="1"/>
        <v>1397.3</v>
      </c>
      <c r="AF14" s="60">
        <f t="shared" si="1"/>
        <v>3052.5</v>
      </c>
      <c r="AG14" s="60">
        <f t="shared" si="1"/>
        <v>0</v>
      </c>
      <c r="AH14" s="60">
        <f t="shared" si="1"/>
        <v>0</v>
      </c>
      <c r="AI14" s="60">
        <f t="shared" si="1"/>
        <v>9823</v>
      </c>
    </row>
    <row r="15" spans="1:35" ht="12.75">
      <c r="A15" s="57">
        <v>1971</v>
      </c>
      <c r="B15" s="58">
        <v>18623</v>
      </c>
      <c r="C15" s="58">
        <v>1080.5</v>
      </c>
      <c r="D15" s="59">
        <v>3704</v>
      </c>
      <c r="E15" s="59">
        <v>4476</v>
      </c>
      <c r="F15" s="59">
        <v>11338</v>
      </c>
      <c r="G15" s="59">
        <v>4014</v>
      </c>
      <c r="H15" s="59">
        <v>3772</v>
      </c>
      <c r="I15" s="59">
        <v>13293</v>
      </c>
      <c r="J15" s="59">
        <v>1401.7</v>
      </c>
      <c r="K15" s="59">
        <v>3238.5</v>
      </c>
      <c r="L15" s="41"/>
      <c r="N15" s="59">
        <v>10185</v>
      </c>
      <c r="O15" s="60">
        <v>69405</v>
      </c>
      <c r="P15" s="61"/>
      <c r="U15" s="60">
        <f t="shared" si="2"/>
        <v>69405</v>
      </c>
      <c r="W15" s="60">
        <f t="shared" si="0"/>
        <v>18623</v>
      </c>
      <c r="X15" s="60">
        <f t="shared" si="1"/>
        <v>1080.5</v>
      </c>
      <c r="Y15" s="60">
        <f t="shared" si="1"/>
        <v>3704</v>
      </c>
      <c r="Z15" s="60">
        <f t="shared" si="1"/>
        <v>4476</v>
      </c>
      <c r="AA15" s="60">
        <f t="shared" si="1"/>
        <v>11338</v>
      </c>
      <c r="AB15" s="60">
        <f t="shared" si="1"/>
        <v>4014</v>
      </c>
      <c r="AC15" s="60">
        <f t="shared" si="1"/>
        <v>3772</v>
      </c>
      <c r="AD15" s="60">
        <f t="shared" si="1"/>
        <v>13293</v>
      </c>
      <c r="AE15" s="60">
        <f t="shared" si="1"/>
        <v>1401.7</v>
      </c>
      <c r="AF15" s="60">
        <f t="shared" si="1"/>
        <v>3238.5</v>
      </c>
      <c r="AG15" s="60">
        <f t="shared" si="1"/>
        <v>0</v>
      </c>
      <c r="AH15" s="60">
        <f t="shared" si="1"/>
        <v>0</v>
      </c>
      <c r="AI15" s="60">
        <f t="shared" si="1"/>
        <v>10185</v>
      </c>
    </row>
    <row r="16" spans="1:35" ht="12.75">
      <c r="A16" s="62">
        <v>1972</v>
      </c>
      <c r="B16" s="59">
        <v>19151</v>
      </c>
      <c r="C16" s="59">
        <v>1094</v>
      </c>
      <c r="D16" s="59">
        <v>3889</v>
      </c>
      <c r="E16" s="59">
        <v>4541</v>
      </c>
      <c r="F16" s="59">
        <v>11822</v>
      </c>
      <c r="G16" s="59">
        <v>4127</v>
      </c>
      <c r="H16" s="59">
        <v>3908</v>
      </c>
      <c r="I16" s="59">
        <v>13737.9</v>
      </c>
      <c r="J16" s="59">
        <v>1490.5</v>
      </c>
      <c r="K16" s="59">
        <v>3411.9</v>
      </c>
      <c r="L16" s="41">
        <v>1402.7</v>
      </c>
      <c r="M16" s="60">
        <v>7432.8</v>
      </c>
      <c r="N16" s="59">
        <v>10649</v>
      </c>
      <c r="O16" s="60">
        <v>71824.9</v>
      </c>
      <c r="P16" s="60">
        <v>0</v>
      </c>
      <c r="U16" s="60">
        <f t="shared" si="2"/>
        <v>71824.9</v>
      </c>
      <c r="W16" s="60">
        <f t="shared" si="0"/>
        <v>19151</v>
      </c>
      <c r="X16" s="60">
        <f t="shared" si="1"/>
        <v>1094</v>
      </c>
      <c r="Y16" s="60">
        <f t="shared" si="1"/>
        <v>3889</v>
      </c>
      <c r="Z16" s="60">
        <f t="shared" si="1"/>
        <v>4541</v>
      </c>
      <c r="AA16" s="60">
        <f t="shared" si="1"/>
        <v>11822</v>
      </c>
      <c r="AB16" s="60">
        <f t="shared" si="1"/>
        <v>4127</v>
      </c>
      <c r="AC16" s="60">
        <f t="shared" si="1"/>
        <v>3908</v>
      </c>
      <c r="AD16" s="60">
        <f t="shared" si="1"/>
        <v>13737.9</v>
      </c>
      <c r="AE16" s="60">
        <f t="shared" si="1"/>
        <v>1490.5</v>
      </c>
      <c r="AF16" s="60">
        <f t="shared" si="1"/>
        <v>3411.9</v>
      </c>
      <c r="AG16" s="60">
        <f t="shared" si="1"/>
        <v>1402.7</v>
      </c>
      <c r="AH16" s="60">
        <f t="shared" si="1"/>
        <v>7432.8</v>
      </c>
      <c r="AI16" s="60">
        <f t="shared" si="1"/>
        <v>10649</v>
      </c>
    </row>
    <row r="17" spans="1:35" ht="12.75">
      <c r="A17" s="62">
        <v>1973</v>
      </c>
      <c r="B17" s="59">
        <v>20154</v>
      </c>
      <c r="C17" s="59">
        <v>1110.7</v>
      </c>
      <c r="D17" s="59">
        <v>4097</v>
      </c>
      <c r="E17" s="59">
        <v>4656</v>
      </c>
      <c r="F17" s="59">
        <v>12315</v>
      </c>
      <c r="G17" s="59">
        <v>4291</v>
      </c>
      <c r="H17" s="59">
        <v>4046</v>
      </c>
      <c r="I17" s="59">
        <v>14195.8</v>
      </c>
      <c r="J17" s="59">
        <v>1609.5</v>
      </c>
      <c r="K17" s="59">
        <v>3640.8</v>
      </c>
      <c r="L17" s="41">
        <v>1410.3</v>
      </c>
      <c r="M17" s="60">
        <v>7535.2</v>
      </c>
      <c r="N17" s="59">
        <v>11068</v>
      </c>
      <c r="O17" s="60">
        <v>74822.8</v>
      </c>
      <c r="P17" s="60">
        <v>0</v>
      </c>
      <c r="U17" s="60">
        <f t="shared" si="2"/>
        <v>74822.8</v>
      </c>
      <c r="W17" s="60">
        <f t="shared" si="0"/>
        <v>20154</v>
      </c>
      <c r="X17" s="60">
        <f t="shared" si="1"/>
        <v>1110.7</v>
      </c>
      <c r="Y17" s="60">
        <f t="shared" si="1"/>
        <v>4097</v>
      </c>
      <c r="Z17" s="60">
        <f t="shared" si="1"/>
        <v>4656</v>
      </c>
      <c r="AA17" s="60">
        <f t="shared" si="1"/>
        <v>12315</v>
      </c>
      <c r="AB17" s="60">
        <f t="shared" si="1"/>
        <v>4291</v>
      </c>
      <c r="AC17" s="60">
        <f t="shared" si="1"/>
        <v>4046</v>
      </c>
      <c r="AD17" s="60">
        <f t="shared" si="1"/>
        <v>14195.8</v>
      </c>
      <c r="AE17" s="60">
        <f t="shared" si="1"/>
        <v>1609.5</v>
      </c>
      <c r="AF17" s="60">
        <f t="shared" si="1"/>
        <v>3640.8</v>
      </c>
      <c r="AG17" s="60">
        <f t="shared" si="1"/>
        <v>1410.3</v>
      </c>
      <c r="AH17" s="60">
        <f t="shared" si="1"/>
        <v>7535.2</v>
      </c>
      <c r="AI17" s="60">
        <f t="shared" si="1"/>
        <v>11068</v>
      </c>
    </row>
    <row r="18" spans="1:35" ht="12.75">
      <c r="A18" s="62">
        <v>1974</v>
      </c>
      <c r="B18" s="59">
        <v>20078</v>
      </c>
      <c r="C18" s="59">
        <v>1111.3</v>
      </c>
      <c r="D18" s="59">
        <v>4020</v>
      </c>
      <c r="E18" s="59">
        <v>4725</v>
      </c>
      <c r="F18" s="59">
        <v>12539</v>
      </c>
      <c r="G18" s="59">
        <v>4447</v>
      </c>
      <c r="H18" s="59">
        <v>4148</v>
      </c>
      <c r="I18" s="59">
        <v>14616</v>
      </c>
      <c r="J18" s="59">
        <v>1685.8</v>
      </c>
      <c r="K18" s="59">
        <v>3886.7</v>
      </c>
      <c r="L18" s="41">
        <v>1437.9</v>
      </c>
      <c r="M18" s="60">
        <v>7605.6</v>
      </c>
      <c r="N18" s="59">
        <v>11446</v>
      </c>
      <c r="O18" s="60">
        <v>76019</v>
      </c>
      <c r="P18" s="60">
        <v>0</v>
      </c>
      <c r="U18" s="60">
        <f t="shared" si="2"/>
        <v>76019</v>
      </c>
      <c r="W18" s="60">
        <f t="shared" si="0"/>
        <v>20078</v>
      </c>
      <c r="X18" s="60">
        <f aca="true" t="shared" si="3" ref="X18:X54">C18</f>
        <v>1111.3</v>
      </c>
      <c r="Y18" s="60">
        <f aca="true" t="shared" si="4" ref="Y18:Y54">D18</f>
        <v>4020</v>
      </c>
      <c r="Z18" s="60">
        <f aca="true" t="shared" si="5" ref="Z18:Z54">E18</f>
        <v>4725</v>
      </c>
      <c r="AA18" s="60">
        <f aca="true" t="shared" si="6" ref="AA18:AA54">F18</f>
        <v>12539</v>
      </c>
      <c r="AB18" s="60">
        <f aca="true" t="shared" si="7" ref="AB18:AB54">G18</f>
        <v>4447</v>
      </c>
      <c r="AC18" s="60">
        <f aca="true" t="shared" si="8" ref="AC18:AC54">H18</f>
        <v>4148</v>
      </c>
      <c r="AD18" s="60">
        <f aca="true" t="shared" si="9" ref="AD18:AD54">I18</f>
        <v>14616</v>
      </c>
      <c r="AE18" s="60">
        <f aca="true" t="shared" si="10" ref="AE18:AE54">J18</f>
        <v>1685.8</v>
      </c>
      <c r="AF18" s="60">
        <f aca="true" t="shared" si="11" ref="AF18:AF54">K18</f>
        <v>3886.7</v>
      </c>
      <c r="AG18" s="60">
        <f aca="true" t="shared" si="12" ref="AG18:AG54">L18</f>
        <v>1437.9</v>
      </c>
      <c r="AH18" s="60">
        <f aca="true" t="shared" si="13" ref="AH18:AH54">M18</f>
        <v>7605.6</v>
      </c>
      <c r="AI18" s="60">
        <f aca="true" t="shared" si="14" ref="AI18:AI54">N18</f>
        <v>11446</v>
      </c>
    </row>
    <row r="19" spans="1:35" ht="12.75">
      <c r="A19" s="62">
        <v>1975</v>
      </c>
      <c r="B19" s="59">
        <v>18318.8</v>
      </c>
      <c r="C19" s="59">
        <v>1083.5</v>
      </c>
      <c r="D19" s="59">
        <v>3525</v>
      </c>
      <c r="E19" s="59">
        <v>4541.9</v>
      </c>
      <c r="F19" s="59">
        <v>12629.6</v>
      </c>
      <c r="G19" s="59">
        <v>4429.7</v>
      </c>
      <c r="H19" s="59">
        <v>4165.7</v>
      </c>
      <c r="I19" s="59">
        <v>14981.3</v>
      </c>
      <c r="J19" s="59">
        <v>1697.2</v>
      </c>
      <c r="K19" s="59">
        <v>4133.8</v>
      </c>
      <c r="L19" s="41">
        <v>1452.3</v>
      </c>
      <c r="M19" s="63">
        <v>7698</v>
      </c>
      <c r="N19" s="59">
        <v>11937</v>
      </c>
      <c r="O19" s="60">
        <v>74529</v>
      </c>
      <c r="P19" s="60">
        <v>0</v>
      </c>
      <c r="U19" s="60">
        <f t="shared" si="2"/>
        <v>74529</v>
      </c>
      <c r="W19" s="60">
        <f t="shared" si="0"/>
        <v>18318.8</v>
      </c>
      <c r="X19" s="60">
        <f t="shared" si="3"/>
        <v>1083.5</v>
      </c>
      <c r="Y19" s="60">
        <f t="shared" si="4"/>
        <v>3525</v>
      </c>
      <c r="Z19" s="60">
        <f t="shared" si="5"/>
        <v>4541.9</v>
      </c>
      <c r="AA19" s="60">
        <f t="shared" si="6"/>
        <v>12629.6</v>
      </c>
      <c r="AB19" s="60">
        <f t="shared" si="7"/>
        <v>4429.7</v>
      </c>
      <c r="AC19" s="60">
        <f t="shared" si="8"/>
        <v>4165.7</v>
      </c>
      <c r="AD19" s="60">
        <f t="shared" si="9"/>
        <v>14981.3</v>
      </c>
      <c r="AE19" s="60">
        <f t="shared" si="10"/>
        <v>1697.2</v>
      </c>
      <c r="AF19" s="60">
        <f t="shared" si="11"/>
        <v>4133.8</v>
      </c>
      <c r="AG19" s="60">
        <f t="shared" si="12"/>
        <v>1452.3</v>
      </c>
      <c r="AH19" s="60">
        <f t="shared" si="13"/>
        <v>7698</v>
      </c>
      <c r="AI19" s="60">
        <f t="shared" si="14"/>
        <v>11937</v>
      </c>
    </row>
    <row r="20" spans="1:35" ht="12.75">
      <c r="A20" s="62">
        <v>1976</v>
      </c>
      <c r="B20" s="59">
        <v>18997.1</v>
      </c>
      <c r="C20" s="59">
        <v>1099.2</v>
      </c>
      <c r="D20" s="59">
        <v>3576</v>
      </c>
      <c r="E20" s="59">
        <v>4582.4</v>
      </c>
      <c r="F20" s="59">
        <v>13195.7</v>
      </c>
      <c r="G20" s="59">
        <v>4561.4</v>
      </c>
      <c r="H20" s="59">
        <v>4263.2</v>
      </c>
      <c r="I20" s="59">
        <v>15622.5</v>
      </c>
      <c r="J20" s="59">
        <v>1805.9</v>
      </c>
      <c r="K20" s="59">
        <v>4350.4</v>
      </c>
      <c r="L20" s="41">
        <v>1486.8</v>
      </c>
      <c r="M20" s="63">
        <v>7979.4</v>
      </c>
      <c r="N20" s="59">
        <v>12138</v>
      </c>
      <c r="O20" s="60">
        <v>76936.3</v>
      </c>
      <c r="P20" s="60">
        <v>0</v>
      </c>
      <c r="U20" s="60">
        <f t="shared" si="2"/>
        <v>76936.3</v>
      </c>
      <c r="W20" s="60">
        <f t="shared" si="0"/>
        <v>18997.1</v>
      </c>
      <c r="X20" s="60">
        <f t="shared" si="3"/>
        <v>1099.2</v>
      </c>
      <c r="Y20" s="60">
        <f t="shared" si="4"/>
        <v>3576</v>
      </c>
      <c r="Z20" s="60">
        <f t="shared" si="5"/>
        <v>4582.4</v>
      </c>
      <c r="AA20" s="60">
        <f t="shared" si="6"/>
        <v>13195.7</v>
      </c>
      <c r="AB20" s="60">
        <f t="shared" si="7"/>
        <v>4561.4</v>
      </c>
      <c r="AC20" s="60">
        <f t="shared" si="8"/>
        <v>4263.2</v>
      </c>
      <c r="AD20" s="60">
        <f t="shared" si="9"/>
        <v>15622.5</v>
      </c>
      <c r="AE20" s="60">
        <f t="shared" si="10"/>
        <v>1805.9</v>
      </c>
      <c r="AF20" s="60">
        <f t="shared" si="11"/>
        <v>4350.4</v>
      </c>
      <c r="AG20" s="60">
        <f t="shared" si="12"/>
        <v>1486.8</v>
      </c>
      <c r="AH20" s="60">
        <f t="shared" si="13"/>
        <v>7979.4</v>
      </c>
      <c r="AI20" s="60">
        <f t="shared" si="14"/>
        <v>12138</v>
      </c>
    </row>
    <row r="21" spans="1:35" ht="12.75">
      <c r="A21" s="62">
        <v>1977</v>
      </c>
      <c r="B21" s="59">
        <v>19682.9</v>
      </c>
      <c r="C21" s="59">
        <v>1141.3</v>
      </c>
      <c r="D21" s="59">
        <v>3851</v>
      </c>
      <c r="E21" s="59">
        <v>4713</v>
      </c>
      <c r="F21" s="59">
        <v>13795.4</v>
      </c>
      <c r="G21" s="59">
        <v>4722.9</v>
      </c>
      <c r="H21" s="59">
        <v>4460.6</v>
      </c>
      <c r="I21" s="59">
        <v>16388.6</v>
      </c>
      <c r="J21" s="59">
        <v>1957.6</v>
      </c>
      <c r="K21" s="59">
        <v>4584</v>
      </c>
      <c r="L21" s="41">
        <v>1495.4</v>
      </c>
      <c r="M21" s="63">
        <v>8351.6</v>
      </c>
      <c r="N21" s="59">
        <v>12399</v>
      </c>
      <c r="O21" s="60">
        <v>80013.4</v>
      </c>
      <c r="P21" s="60">
        <v>0</v>
      </c>
      <c r="U21" s="60">
        <f t="shared" si="2"/>
        <v>80013.4</v>
      </c>
      <c r="W21" s="60">
        <f t="shared" si="0"/>
        <v>19682.9</v>
      </c>
      <c r="X21" s="60">
        <f t="shared" si="3"/>
        <v>1141.3</v>
      </c>
      <c r="Y21" s="60">
        <f t="shared" si="4"/>
        <v>3851</v>
      </c>
      <c r="Z21" s="60">
        <f t="shared" si="5"/>
        <v>4713</v>
      </c>
      <c r="AA21" s="60">
        <f t="shared" si="6"/>
        <v>13795.4</v>
      </c>
      <c r="AB21" s="60">
        <f t="shared" si="7"/>
        <v>4722.9</v>
      </c>
      <c r="AC21" s="60">
        <f t="shared" si="8"/>
        <v>4460.6</v>
      </c>
      <c r="AD21" s="60">
        <f t="shared" si="9"/>
        <v>16388.6</v>
      </c>
      <c r="AE21" s="60">
        <f t="shared" si="10"/>
        <v>1957.6</v>
      </c>
      <c r="AF21" s="60">
        <f t="shared" si="11"/>
        <v>4584</v>
      </c>
      <c r="AG21" s="60">
        <f t="shared" si="12"/>
        <v>1495.4</v>
      </c>
      <c r="AH21" s="60">
        <f t="shared" si="13"/>
        <v>8351.6</v>
      </c>
      <c r="AI21" s="60">
        <f t="shared" si="14"/>
        <v>12399</v>
      </c>
    </row>
    <row r="22" spans="1:35" ht="12.75">
      <c r="A22" s="62">
        <v>1978</v>
      </c>
      <c r="B22" s="59">
        <v>20505.7</v>
      </c>
      <c r="C22" s="59">
        <v>1192.1</v>
      </c>
      <c r="D22" s="59">
        <v>4229</v>
      </c>
      <c r="E22" s="59">
        <v>4922.8</v>
      </c>
      <c r="F22" s="59">
        <v>14559.7</v>
      </c>
      <c r="G22" s="59">
        <v>4985.2</v>
      </c>
      <c r="H22" s="59">
        <v>4717.3</v>
      </c>
      <c r="I22" s="59">
        <v>17313.1</v>
      </c>
      <c r="J22" s="59">
        <v>2180.5</v>
      </c>
      <c r="K22" s="59">
        <v>4791.7</v>
      </c>
      <c r="L22" s="41">
        <v>1501.7</v>
      </c>
      <c r="M22" s="63">
        <v>8839.2</v>
      </c>
      <c r="N22" s="59">
        <v>12919</v>
      </c>
      <c r="O22" s="60">
        <v>84151.8</v>
      </c>
      <c r="P22" s="60">
        <v>0</v>
      </c>
      <c r="U22" s="60">
        <f t="shared" si="2"/>
        <v>84151.8</v>
      </c>
      <c r="W22" s="60">
        <f t="shared" si="0"/>
        <v>20505.7</v>
      </c>
      <c r="X22" s="60">
        <f t="shared" si="3"/>
        <v>1192.1</v>
      </c>
      <c r="Y22" s="60">
        <f t="shared" si="4"/>
        <v>4229</v>
      </c>
      <c r="Z22" s="60">
        <f t="shared" si="5"/>
        <v>4922.8</v>
      </c>
      <c r="AA22" s="60">
        <f t="shared" si="6"/>
        <v>14559.7</v>
      </c>
      <c r="AB22" s="60">
        <f t="shared" si="7"/>
        <v>4985.2</v>
      </c>
      <c r="AC22" s="60">
        <f t="shared" si="8"/>
        <v>4717.3</v>
      </c>
      <c r="AD22" s="60">
        <f t="shared" si="9"/>
        <v>17313.1</v>
      </c>
      <c r="AE22" s="60">
        <f t="shared" si="10"/>
        <v>2180.5</v>
      </c>
      <c r="AF22" s="60">
        <f t="shared" si="11"/>
        <v>4791.7</v>
      </c>
      <c r="AG22" s="60">
        <f t="shared" si="12"/>
        <v>1501.7</v>
      </c>
      <c r="AH22" s="60">
        <f t="shared" si="13"/>
        <v>8839.2</v>
      </c>
      <c r="AI22" s="60">
        <f t="shared" si="14"/>
        <v>12919</v>
      </c>
    </row>
    <row r="23" spans="1:35" ht="12.75">
      <c r="A23" s="62">
        <v>1979</v>
      </c>
      <c r="B23" s="59">
        <v>21041</v>
      </c>
      <c r="C23" s="59">
        <v>1235</v>
      </c>
      <c r="D23" s="59">
        <v>4463</v>
      </c>
      <c r="E23" s="59">
        <v>5135.8</v>
      </c>
      <c r="F23" s="59">
        <v>14973.5</v>
      </c>
      <c r="G23" s="59">
        <v>5220.6</v>
      </c>
      <c r="H23" s="59">
        <v>4968.5</v>
      </c>
      <c r="I23" s="59">
        <v>18042.9</v>
      </c>
      <c r="J23" s="59">
        <v>2410.1</v>
      </c>
      <c r="K23" s="59">
        <v>4992.8</v>
      </c>
      <c r="L23" s="41">
        <v>1516.3</v>
      </c>
      <c r="M23" s="63">
        <v>9123.7</v>
      </c>
      <c r="N23" s="59">
        <v>13174</v>
      </c>
      <c r="O23" s="60">
        <v>87019.3</v>
      </c>
      <c r="P23" s="60">
        <v>0</v>
      </c>
      <c r="U23" s="60">
        <f t="shared" si="2"/>
        <v>87019.3</v>
      </c>
      <c r="W23" s="60">
        <f t="shared" si="0"/>
        <v>21041</v>
      </c>
      <c r="X23" s="60">
        <f t="shared" si="3"/>
        <v>1235</v>
      </c>
      <c r="Y23" s="60">
        <f t="shared" si="4"/>
        <v>4463</v>
      </c>
      <c r="Z23" s="60">
        <f t="shared" si="5"/>
        <v>5135.8</v>
      </c>
      <c r="AA23" s="60">
        <f t="shared" si="6"/>
        <v>14973.5</v>
      </c>
      <c r="AB23" s="60">
        <f t="shared" si="7"/>
        <v>5220.6</v>
      </c>
      <c r="AC23" s="60">
        <f t="shared" si="8"/>
        <v>4968.5</v>
      </c>
      <c r="AD23" s="60">
        <f t="shared" si="9"/>
        <v>18042.9</v>
      </c>
      <c r="AE23" s="60">
        <f t="shared" si="10"/>
        <v>2410.1</v>
      </c>
      <c r="AF23" s="60">
        <f t="shared" si="11"/>
        <v>4992.8</v>
      </c>
      <c r="AG23" s="60">
        <f t="shared" si="12"/>
        <v>1516.3</v>
      </c>
      <c r="AH23" s="60">
        <f t="shared" si="13"/>
        <v>9123.7</v>
      </c>
      <c r="AI23" s="60">
        <f t="shared" si="14"/>
        <v>13174</v>
      </c>
    </row>
    <row r="24" spans="1:35" ht="12.75">
      <c r="A24" s="62">
        <v>1980</v>
      </c>
      <c r="B24" s="59">
        <v>20286.6</v>
      </c>
      <c r="C24" s="59">
        <v>1252.2</v>
      </c>
      <c r="D24" s="59">
        <v>4346</v>
      </c>
      <c r="E24" s="59">
        <v>5146.4</v>
      </c>
      <c r="F24" s="59">
        <v>15021.6</v>
      </c>
      <c r="G24" s="59">
        <v>5292.5</v>
      </c>
      <c r="H24" s="59">
        <v>5151.6</v>
      </c>
      <c r="I24" s="59">
        <v>18718.8</v>
      </c>
      <c r="J24" s="59">
        <v>2563.5</v>
      </c>
      <c r="K24" s="59">
        <v>5278</v>
      </c>
      <c r="L24" s="41">
        <v>1539.4</v>
      </c>
      <c r="M24" s="63">
        <v>9337.9</v>
      </c>
      <c r="N24" s="59">
        <v>13375</v>
      </c>
      <c r="O24" s="60">
        <v>87338.5</v>
      </c>
      <c r="P24" s="60">
        <v>0</v>
      </c>
      <c r="U24" s="60">
        <f t="shared" si="2"/>
        <v>87338.5</v>
      </c>
      <c r="W24" s="60">
        <f t="shared" si="0"/>
        <v>20286.6</v>
      </c>
      <c r="X24" s="60">
        <f t="shared" si="3"/>
        <v>1252.2</v>
      </c>
      <c r="Y24" s="60">
        <f t="shared" si="4"/>
        <v>4346</v>
      </c>
      <c r="Z24" s="60">
        <f t="shared" si="5"/>
        <v>5146.4</v>
      </c>
      <c r="AA24" s="60">
        <f t="shared" si="6"/>
        <v>15021.6</v>
      </c>
      <c r="AB24" s="60">
        <f t="shared" si="7"/>
        <v>5292.5</v>
      </c>
      <c r="AC24" s="60">
        <f t="shared" si="8"/>
        <v>5151.6</v>
      </c>
      <c r="AD24" s="60">
        <f t="shared" si="9"/>
        <v>18718.8</v>
      </c>
      <c r="AE24" s="60">
        <f t="shared" si="10"/>
        <v>2563.5</v>
      </c>
      <c r="AF24" s="60">
        <f t="shared" si="11"/>
        <v>5278</v>
      </c>
      <c r="AG24" s="60">
        <f t="shared" si="12"/>
        <v>1539.4</v>
      </c>
      <c r="AH24" s="60">
        <f t="shared" si="13"/>
        <v>9337.9</v>
      </c>
      <c r="AI24" s="60">
        <f t="shared" si="14"/>
        <v>13375</v>
      </c>
    </row>
    <row r="25" spans="1:35" ht="12.75">
      <c r="A25" s="62">
        <v>1981</v>
      </c>
      <c r="B25" s="59">
        <v>20171</v>
      </c>
      <c r="C25" s="59">
        <v>1266.2</v>
      </c>
      <c r="D25" s="59">
        <v>4188</v>
      </c>
      <c r="E25" s="59">
        <v>5164.6</v>
      </c>
      <c r="F25" s="59">
        <v>15170.1</v>
      </c>
      <c r="G25" s="59">
        <v>5375.3</v>
      </c>
      <c r="H25" s="59">
        <v>5294.4</v>
      </c>
      <c r="I25" s="59">
        <v>19386.7</v>
      </c>
      <c r="J25" s="59">
        <v>2699.6</v>
      </c>
      <c r="K25" s="59">
        <v>5562.1</v>
      </c>
      <c r="L25" s="41">
        <v>1527.3</v>
      </c>
      <c r="M25" s="63">
        <v>9597.7</v>
      </c>
      <c r="N25" s="59">
        <v>13259</v>
      </c>
      <c r="O25" s="60">
        <v>88009.1</v>
      </c>
      <c r="P25" s="60">
        <v>0</v>
      </c>
      <c r="U25" s="60">
        <f t="shared" si="2"/>
        <v>88009.1</v>
      </c>
      <c r="W25" s="60">
        <f t="shared" si="0"/>
        <v>20171</v>
      </c>
      <c r="X25" s="60">
        <f t="shared" si="3"/>
        <v>1266.2</v>
      </c>
      <c r="Y25" s="60">
        <f t="shared" si="4"/>
        <v>4188</v>
      </c>
      <c r="Z25" s="60">
        <f t="shared" si="5"/>
        <v>5164.6</v>
      </c>
      <c r="AA25" s="60">
        <f t="shared" si="6"/>
        <v>15170.1</v>
      </c>
      <c r="AB25" s="60">
        <f t="shared" si="7"/>
        <v>5375.3</v>
      </c>
      <c r="AC25" s="60">
        <f t="shared" si="8"/>
        <v>5294.4</v>
      </c>
      <c r="AD25" s="60">
        <f t="shared" si="9"/>
        <v>19386.7</v>
      </c>
      <c r="AE25" s="60">
        <f t="shared" si="10"/>
        <v>2699.6</v>
      </c>
      <c r="AF25" s="60">
        <f t="shared" si="11"/>
        <v>5562.1</v>
      </c>
      <c r="AG25" s="60">
        <f t="shared" si="12"/>
        <v>1527.3</v>
      </c>
      <c r="AH25" s="60">
        <f t="shared" si="13"/>
        <v>9597.7</v>
      </c>
      <c r="AI25" s="60">
        <f t="shared" si="14"/>
        <v>13259</v>
      </c>
    </row>
    <row r="26" spans="1:35" ht="12.75">
      <c r="A26" s="62">
        <v>1982</v>
      </c>
      <c r="B26" s="59">
        <v>18776.6</v>
      </c>
      <c r="C26" s="59">
        <v>1271.9</v>
      </c>
      <c r="D26" s="59">
        <v>3904</v>
      </c>
      <c r="E26" s="59">
        <v>5081.5</v>
      </c>
      <c r="F26" s="59">
        <v>15158.1</v>
      </c>
      <c r="G26" s="59">
        <v>5294.5</v>
      </c>
      <c r="H26" s="59">
        <v>5340.2</v>
      </c>
      <c r="I26" s="59">
        <v>19776.8</v>
      </c>
      <c r="J26" s="59">
        <v>2722.2</v>
      </c>
      <c r="K26" s="59">
        <v>5810.8</v>
      </c>
      <c r="L26" s="41">
        <v>1525.4</v>
      </c>
      <c r="M26" s="63">
        <v>9718.4</v>
      </c>
      <c r="N26" s="59">
        <v>13098</v>
      </c>
      <c r="O26" s="60">
        <v>86429.7</v>
      </c>
      <c r="P26" s="60">
        <v>0</v>
      </c>
      <c r="U26" s="60">
        <f t="shared" si="2"/>
        <v>86429.7</v>
      </c>
      <c r="W26" s="60">
        <f t="shared" si="0"/>
        <v>18776.6</v>
      </c>
      <c r="X26" s="60">
        <f t="shared" si="3"/>
        <v>1271.9</v>
      </c>
      <c r="Y26" s="60">
        <f t="shared" si="4"/>
        <v>3904</v>
      </c>
      <c r="Z26" s="60">
        <f t="shared" si="5"/>
        <v>5081.5</v>
      </c>
      <c r="AA26" s="60">
        <f t="shared" si="6"/>
        <v>15158.1</v>
      </c>
      <c r="AB26" s="60">
        <f t="shared" si="7"/>
        <v>5294.5</v>
      </c>
      <c r="AC26" s="60">
        <f t="shared" si="8"/>
        <v>5340.2</v>
      </c>
      <c r="AD26" s="60">
        <f t="shared" si="9"/>
        <v>19776.8</v>
      </c>
      <c r="AE26" s="60">
        <f t="shared" si="10"/>
        <v>2722.2</v>
      </c>
      <c r="AF26" s="60">
        <f t="shared" si="11"/>
        <v>5810.8</v>
      </c>
      <c r="AG26" s="60">
        <f t="shared" si="12"/>
        <v>1525.4</v>
      </c>
      <c r="AH26" s="60">
        <f t="shared" si="13"/>
        <v>9718.4</v>
      </c>
      <c r="AI26" s="60">
        <f t="shared" si="14"/>
        <v>13098</v>
      </c>
    </row>
    <row r="27" spans="1:35" ht="12.75">
      <c r="A27" s="62">
        <v>1983</v>
      </c>
      <c r="B27" s="59">
        <v>18429.6</v>
      </c>
      <c r="C27" s="59">
        <v>1298.3</v>
      </c>
      <c r="D27" s="59">
        <v>3946</v>
      </c>
      <c r="E27" s="59">
        <v>4952.3</v>
      </c>
      <c r="F27" s="59">
        <v>15587.2</v>
      </c>
      <c r="G27" s="59">
        <v>5283.3</v>
      </c>
      <c r="H27" s="59">
        <v>5465.5</v>
      </c>
      <c r="I27" s="59">
        <v>20489.2</v>
      </c>
      <c r="J27" s="59">
        <v>2948</v>
      </c>
      <c r="K27" s="59">
        <v>5986.2</v>
      </c>
      <c r="L27" s="41">
        <v>1509.8</v>
      </c>
      <c r="M27" s="63">
        <v>10045.2</v>
      </c>
      <c r="N27" s="59">
        <v>13096</v>
      </c>
      <c r="O27" s="60">
        <v>87249.1</v>
      </c>
      <c r="P27" s="60">
        <v>0</v>
      </c>
      <c r="U27" s="60">
        <f t="shared" si="2"/>
        <v>87249.1</v>
      </c>
      <c r="W27" s="60">
        <f t="shared" si="0"/>
        <v>18429.6</v>
      </c>
      <c r="X27" s="60">
        <f t="shared" si="3"/>
        <v>1298.3</v>
      </c>
      <c r="Y27" s="60">
        <f t="shared" si="4"/>
        <v>3946</v>
      </c>
      <c r="Z27" s="60">
        <f t="shared" si="5"/>
        <v>4952.3</v>
      </c>
      <c r="AA27" s="60">
        <f t="shared" si="6"/>
        <v>15587.2</v>
      </c>
      <c r="AB27" s="60">
        <f t="shared" si="7"/>
        <v>5283.3</v>
      </c>
      <c r="AC27" s="60">
        <f t="shared" si="8"/>
        <v>5465.5</v>
      </c>
      <c r="AD27" s="60">
        <f t="shared" si="9"/>
        <v>20489.2</v>
      </c>
      <c r="AE27" s="60">
        <f t="shared" si="10"/>
        <v>2948</v>
      </c>
      <c r="AF27" s="60">
        <f t="shared" si="11"/>
        <v>5986.2</v>
      </c>
      <c r="AG27" s="60">
        <f t="shared" si="12"/>
        <v>1509.8</v>
      </c>
      <c r="AH27" s="60">
        <f t="shared" si="13"/>
        <v>10045.2</v>
      </c>
      <c r="AI27" s="60">
        <f t="shared" si="14"/>
        <v>13096</v>
      </c>
    </row>
    <row r="28" spans="1:35" ht="12.75">
      <c r="A28" s="62">
        <v>1984</v>
      </c>
      <c r="B28" s="59">
        <v>19369.7</v>
      </c>
      <c r="C28" s="59">
        <v>1375.3</v>
      </c>
      <c r="D28" s="59">
        <v>4380</v>
      </c>
      <c r="E28" s="59">
        <v>5155.8</v>
      </c>
      <c r="F28" s="59">
        <v>16512</v>
      </c>
      <c r="G28" s="59">
        <v>5567.8</v>
      </c>
      <c r="H28" s="59">
        <v>5683.4</v>
      </c>
      <c r="I28" s="59">
        <v>21517.1</v>
      </c>
      <c r="J28" s="59">
        <v>3352.7</v>
      </c>
      <c r="K28" s="59">
        <v>6118.3</v>
      </c>
      <c r="L28" s="41">
        <v>1504</v>
      </c>
      <c r="M28" s="63">
        <v>10542.1</v>
      </c>
      <c r="N28" s="59">
        <v>13216</v>
      </c>
      <c r="O28" s="60">
        <v>91401.8</v>
      </c>
      <c r="P28" s="60">
        <v>0</v>
      </c>
      <c r="U28" s="60">
        <f t="shared" si="2"/>
        <v>91401.8</v>
      </c>
      <c r="W28" s="60">
        <f t="shared" si="0"/>
        <v>19369.7</v>
      </c>
      <c r="X28" s="60">
        <f t="shared" si="3"/>
        <v>1375.3</v>
      </c>
      <c r="Y28" s="60">
        <f t="shared" si="4"/>
        <v>4380</v>
      </c>
      <c r="Z28" s="60">
        <f t="shared" si="5"/>
        <v>5155.8</v>
      </c>
      <c r="AA28" s="60">
        <f t="shared" si="6"/>
        <v>16512</v>
      </c>
      <c r="AB28" s="60">
        <f t="shared" si="7"/>
        <v>5567.8</v>
      </c>
      <c r="AC28" s="60">
        <f t="shared" si="8"/>
        <v>5683.4</v>
      </c>
      <c r="AD28" s="60">
        <f t="shared" si="9"/>
        <v>21517.1</v>
      </c>
      <c r="AE28" s="60">
        <f t="shared" si="10"/>
        <v>3352.7</v>
      </c>
      <c r="AF28" s="60">
        <f t="shared" si="11"/>
        <v>6118.3</v>
      </c>
      <c r="AG28" s="60">
        <f t="shared" si="12"/>
        <v>1504</v>
      </c>
      <c r="AH28" s="60">
        <f t="shared" si="13"/>
        <v>10542.1</v>
      </c>
      <c r="AI28" s="60">
        <f t="shared" si="14"/>
        <v>13216</v>
      </c>
    </row>
    <row r="29" spans="1:35" ht="12.75">
      <c r="A29" s="62">
        <v>1985</v>
      </c>
      <c r="B29" s="59">
        <v>19250</v>
      </c>
      <c r="C29" s="59">
        <v>1426</v>
      </c>
      <c r="D29" s="59">
        <v>4668</v>
      </c>
      <c r="E29" s="59">
        <v>5232</v>
      </c>
      <c r="F29" s="59">
        <v>17313</v>
      </c>
      <c r="G29" s="59">
        <v>5734.9</v>
      </c>
      <c r="H29" s="59">
        <v>5949.7</v>
      </c>
      <c r="I29" s="59">
        <v>22606.5</v>
      </c>
      <c r="J29" s="59">
        <v>3649.4</v>
      </c>
      <c r="K29" s="59">
        <v>6292.8</v>
      </c>
      <c r="L29" s="41">
        <v>1517.1</v>
      </c>
      <c r="M29" s="63">
        <v>11147.2</v>
      </c>
      <c r="N29" s="59">
        <v>13519</v>
      </c>
      <c r="O29" s="60">
        <v>94273.1</v>
      </c>
      <c r="P29" s="60">
        <v>0</v>
      </c>
      <c r="U29" s="60">
        <f t="shared" si="2"/>
        <v>94273.1</v>
      </c>
      <c r="W29" s="60">
        <f t="shared" si="0"/>
        <v>19250</v>
      </c>
      <c r="X29" s="60">
        <f t="shared" si="3"/>
        <v>1426</v>
      </c>
      <c r="Y29" s="60">
        <f t="shared" si="4"/>
        <v>4668</v>
      </c>
      <c r="Z29" s="60">
        <f t="shared" si="5"/>
        <v>5232</v>
      </c>
      <c r="AA29" s="60">
        <f t="shared" si="6"/>
        <v>17313</v>
      </c>
      <c r="AB29" s="60">
        <f t="shared" si="7"/>
        <v>5734.9</v>
      </c>
      <c r="AC29" s="60">
        <f t="shared" si="8"/>
        <v>5949.7</v>
      </c>
      <c r="AD29" s="60">
        <f t="shared" si="9"/>
        <v>22606.5</v>
      </c>
      <c r="AE29" s="60">
        <f t="shared" si="10"/>
        <v>3649.4</v>
      </c>
      <c r="AF29" s="60">
        <f t="shared" si="11"/>
        <v>6292.8</v>
      </c>
      <c r="AG29" s="60">
        <f t="shared" si="12"/>
        <v>1517.1</v>
      </c>
      <c r="AH29" s="60">
        <f t="shared" si="13"/>
        <v>11147.2</v>
      </c>
      <c r="AI29" s="60">
        <f t="shared" si="14"/>
        <v>13519</v>
      </c>
    </row>
    <row r="30" spans="1:35" ht="15">
      <c r="A30" s="62">
        <v>1986</v>
      </c>
      <c r="B30" s="59">
        <v>18950.5</v>
      </c>
      <c r="C30" s="59">
        <v>1456.1</v>
      </c>
      <c r="D30" s="59">
        <v>4810</v>
      </c>
      <c r="E30" s="59">
        <v>5246.6</v>
      </c>
      <c r="F30" s="59">
        <v>17877.9</v>
      </c>
      <c r="G30" s="59">
        <v>5750.8</v>
      </c>
      <c r="H30" s="59">
        <v>6274.6</v>
      </c>
      <c r="I30" s="59">
        <v>23580.7</v>
      </c>
      <c r="J30" s="59">
        <v>3930.5</v>
      </c>
      <c r="K30" s="59">
        <v>6527.7</v>
      </c>
      <c r="L30" s="64">
        <v>1536.3</v>
      </c>
      <c r="M30" s="63">
        <v>11586.2</v>
      </c>
      <c r="N30" s="59">
        <v>13794</v>
      </c>
      <c r="O30" s="60">
        <v>96285.1</v>
      </c>
      <c r="P30" s="60">
        <v>0</v>
      </c>
      <c r="U30" s="60">
        <f t="shared" si="2"/>
        <v>96285.1</v>
      </c>
      <c r="W30" s="60">
        <f t="shared" si="0"/>
        <v>18950.5</v>
      </c>
      <c r="X30" s="60">
        <f t="shared" si="3"/>
        <v>1456.1</v>
      </c>
      <c r="Y30" s="60">
        <f t="shared" si="4"/>
        <v>4810</v>
      </c>
      <c r="Z30" s="60">
        <f t="shared" si="5"/>
        <v>5246.6</v>
      </c>
      <c r="AA30" s="60">
        <f t="shared" si="6"/>
        <v>17877.9</v>
      </c>
      <c r="AB30" s="60">
        <f t="shared" si="7"/>
        <v>5750.8</v>
      </c>
      <c r="AC30" s="60">
        <f t="shared" si="8"/>
        <v>6274.6</v>
      </c>
      <c r="AD30" s="60">
        <f t="shared" si="9"/>
        <v>23580.7</v>
      </c>
      <c r="AE30" s="60">
        <f t="shared" si="10"/>
        <v>3930.5</v>
      </c>
      <c r="AF30" s="60">
        <f t="shared" si="11"/>
        <v>6527.7</v>
      </c>
      <c r="AG30" s="60">
        <f t="shared" si="12"/>
        <v>1536.3</v>
      </c>
      <c r="AH30" s="60">
        <f t="shared" si="13"/>
        <v>11586.2</v>
      </c>
      <c r="AI30" s="60">
        <f t="shared" si="14"/>
        <v>13794</v>
      </c>
    </row>
    <row r="31" spans="1:35" ht="15">
      <c r="A31" s="62">
        <v>1987</v>
      </c>
      <c r="B31" s="59">
        <v>19001.8</v>
      </c>
      <c r="C31" s="59">
        <v>1502.9</v>
      </c>
      <c r="D31" s="59">
        <v>4958</v>
      </c>
      <c r="E31" s="59">
        <v>5362.3</v>
      </c>
      <c r="F31" s="59">
        <v>18419.4</v>
      </c>
      <c r="G31" s="59">
        <v>5836.6</v>
      </c>
      <c r="H31" s="59">
        <v>6535.2</v>
      </c>
      <c r="I31" s="59">
        <v>24661.3</v>
      </c>
      <c r="J31" s="59">
        <v>4272</v>
      </c>
      <c r="K31" s="59">
        <v>6794.2</v>
      </c>
      <c r="L31" s="64">
        <v>1613.5</v>
      </c>
      <c r="M31" s="63">
        <v>11981.6</v>
      </c>
      <c r="N31" s="59">
        <v>14067</v>
      </c>
      <c r="O31" s="60">
        <v>98841.6</v>
      </c>
      <c r="P31" s="60">
        <v>0</v>
      </c>
      <c r="U31" s="60">
        <f t="shared" si="2"/>
        <v>98841.6</v>
      </c>
      <c r="W31" s="60">
        <f t="shared" si="0"/>
        <v>19001.8</v>
      </c>
      <c r="X31" s="60">
        <f t="shared" si="3"/>
        <v>1502.9</v>
      </c>
      <c r="Y31" s="60">
        <f t="shared" si="4"/>
        <v>4958</v>
      </c>
      <c r="Z31" s="60">
        <f t="shared" si="5"/>
        <v>5362.3</v>
      </c>
      <c r="AA31" s="60">
        <f t="shared" si="6"/>
        <v>18419.4</v>
      </c>
      <c r="AB31" s="60">
        <f t="shared" si="7"/>
        <v>5836.6</v>
      </c>
      <c r="AC31" s="60">
        <f t="shared" si="8"/>
        <v>6535.2</v>
      </c>
      <c r="AD31" s="60">
        <f t="shared" si="9"/>
        <v>24661.3</v>
      </c>
      <c r="AE31" s="60">
        <f t="shared" si="10"/>
        <v>4272</v>
      </c>
      <c r="AF31" s="60">
        <f t="shared" si="11"/>
        <v>6794.2</v>
      </c>
      <c r="AG31" s="60">
        <f t="shared" si="12"/>
        <v>1613.5</v>
      </c>
      <c r="AH31" s="60">
        <f t="shared" si="13"/>
        <v>11981.6</v>
      </c>
      <c r="AI31" s="60">
        <f t="shared" si="14"/>
        <v>14067</v>
      </c>
    </row>
    <row r="32" spans="1:35" ht="15">
      <c r="A32" s="62">
        <v>1988</v>
      </c>
      <c r="B32" s="59">
        <v>19314.4</v>
      </c>
      <c r="C32" s="59">
        <v>1543</v>
      </c>
      <c r="D32" s="59">
        <v>5098</v>
      </c>
      <c r="E32" s="59">
        <v>5511.7</v>
      </c>
      <c r="F32" s="59">
        <v>19022.8</v>
      </c>
      <c r="G32" s="59">
        <v>6029.9</v>
      </c>
      <c r="H32" s="59">
        <v>6629.2</v>
      </c>
      <c r="I32" s="59">
        <v>26018.7</v>
      </c>
      <c r="J32" s="59">
        <v>4638.4</v>
      </c>
      <c r="K32" s="59">
        <v>7105.5</v>
      </c>
      <c r="L32" s="64">
        <v>1740.4</v>
      </c>
      <c r="M32" s="63">
        <v>12534.4</v>
      </c>
      <c r="N32" s="59">
        <v>14415</v>
      </c>
      <c r="O32" s="60">
        <v>102039.7</v>
      </c>
      <c r="P32" s="60">
        <v>0</v>
      </c>
      <c r="U32" s="60">
        <f t="shared" si="2"/>
        <v>102039.7</v>
      </c>
      <c r="W32" s="60">
        <f t="shared" si="0"/>
        <v>19314.4</v>
      </c>
      <c r="X32" s="60">
        <f t="shared" si="3"/>
        <v>1543</v>
      </c>
      <c r="Y32" s="60">
        <f t="shared" si="4"/>
        <v>5098</v>
      </c>
      <c r="Z32" s="60">
        <f t="shared" si="5"/>
        <v>5511.7</v>
      </c>
      <c r="AA32" s="60">
        <f t="shared" si="6"/>
        <v>19022.8</v>
      </c>
      <c r="AB32" s="60">
        <f t="shared" si="7"/>
        <v>6029.9</v>
      </c>
      <c r="AC32" s="60">
        <f t="shared" si="8"/>
        <v>6629.2</v>
      </c>
      <c r="AD32" s="60">
        <f t="shared" si="9"/>
        <v>26018.7</v>
      </c>
      <c r="AE32" s="60">
        <f t="shared" si="10"/>
        <v>4638.4</v>
      </c>
      <c r="AF32" s="60">
        <f t="shared" si="11"/>
        <v>7105.5</v>
      </c>
      <c r="AG32" s="60">
        <f t="shared" si="12"/>
        <v>1740.4</v>
      </c>
      <c r="AH32" s="60">
        <f t="shared" si="13"/>
        <v>12534.4</v>
      </c>
      <c r="AI32" s="60">
        <f t="shared" si="14"/>
        <v>14415</v>
      </c>
    </row>
    <row r="33" spans="1:35" ht="15">
      <c r="A33" s="62">
        <v>1989</v>
      </c>
      <c r="B33" s="59">
        <v>19391.5</v>
      </c>
      <c r="C33" s="59">
        <v>1556</v>
      </c>
      <c r="D33" s="59">
        <v>5171</v>
      </c>
      <c r="E33" s="59">
        <v>5613.8</v>
      </c>
      <c r="F33" s="59">
        <v>19475.3</v>
      </c>
      <c r="G33" s="59">
        <v>6187.2</v>
      </c>
      <c r="H33" s="59">
        <v>6668.6</v>
      </c>
      <c r="I33" s="59">
        <v>27346.8</v>
      </c>
      <c r="J33" s="59">
        <v>4940.6</v>
      </c>
      <c r="K33" s="59">
        <v>7463</v>
      </c>
      <c r="L33" s="64">
        <v>1835.7</v>
      </c>
      <c r="M33" s="63">
        <v>13107.5</v>
      </c>
      <c r="N33" s="59">
        <v>14791</v>
      </c>
      <c r="O33" s="60">
        <v>104645.2</v>
      </c>
      <c r="P33" s="60">
        <v>0</v>
      </c>
      <c r="U33" s="60">
        <f t="shared" si="2"/>
        <v>104645.2</v>
      </c>
      <c r="W33" s="60">
        <f t="shared" si="0"/>
        <v>19391.5</v>
      </c>
      <c r="X33" s="60">
        <f t="shared" si="3"/>
        <v>1556</v>
      </c>
      <c r="Y33" s="60">
        <f t="shared" si="4"/>
        <v>5171</v>
      </c>
      <c r="Z33" s="60">
        <f t="shared" si="5"/>
        <v>5613.8</v>
      </c>
      <c r="AA33" s="60">
        <f t="shared" si="6"/>
        <v>19475.3</v>
      </c>
      <c r="AB33" s="60">
        <f t="shared" si="7"/>
        <v>6187.2</v>
      </c>
      <c r="AC33" s="60">
        <f t="shared" si="8"/>
        <v>6668.6</v>
      </c>
      <c r="AD33" s="60">
        <f t="shared" si="9"/>
        <v>27346.8</v>
      </c>
      <c r="AE33" s="60">
        <f t="shared" si="10"/>
        <v>4940.6</v>
      </c>
      <c r="AF33" s="60">
        <f t="shared" si="11"/>
        <v>7463</v>
      </c>
      <c r="AG33" s="60">
        <f t="shared" si="12"/>
        <v>1835.7</v>
      </c>
      <c r="AH33" s="60">
        <f t="shared" si="13"/>
        <v>13107.5</v>
      </c>
      <c r="AI33" s="60">
        <f t="shared" si="14"/>
        <v>14791</v>
      </c>
    </row>
    <row r="34" spans="1:35" ht="15">
      <c r="A34" s="62">
        <v>1990</v>
      </c>
      <c r="B34" s="59">
        <v>19076.7</v>
      </c>
      <c r="C34" s="59">
        <v>1569.5</v>
      </c>
      <c r="D34" s="59">
        <v>5120</v>
      </c>
      <c r="E34" s="59">
        <v>5776.3</v>
      </c>
      <c r="F34" s="59">
        <v>19601.1</v>
      </c>
      <c r="G34" s="59">
        <v>6172.9</v>
      </c>
      <c r="H34" s="59">
        <v>6708.7</v>
      </c>
      <c r="I34" s="59">
        <v>28305.1</v>
      </c>
      <c r="J34" s="59">
        <v>5139.4</v>
      </c>
      <c r="K34" s="59">
        <v>7814.3</v>
      </c>
      <c r="L34" s="64">
        <v>1945.4</v>
      </c>
      <c r="M34" s="60">
        <v>13406</v>
      </c>
      <c r="N34" s="59">
        <v>15219</v>
      </c>
      <c r="O34" s="60">
        <v>105979.8</v>
      </c>
      <c r="P34" s="60">
        <v>0</v>
      </c>
      <c r="U34" s="60">
        <f t="shared" si="2"/>
        <v>105979.8</v>
      </c>
      <c r="W34" s="60">
        <f aca="true" t="shared" si="15" ref="W34:W54">B34</f>
        <v>19076.7</v>
      </c>
      <c r="X34" s="60">
        <f t="shared" si="3"/>
        <v>1569.5</v>
      </c>
      <c r="Y34" s="60">
        <f t="shared" si="4"/>
        <v>5120</v>
      </c>
      <c r="Z34" s="60">
        <f t="shared" si="5"/>
        <v>5776.3</v>
      </c>
      <c r="AA34" s="60">
        <f t="shared" si="6"/>
        <v>19601.1</v>
      </c>
      <c r="AB34" s="60">
        <f t="shared" si="7"/>
        <v>6172.9</v>
      </c>
      <c r="AC34" s="60">
        <f t="shared" si="8"/>
        <v>6708.7</v>
      </c>
      <c r="AD34" s="60">
        <f t="shared" si="9"/>
        <v>28305.1</v>
      </c>
      <c r="AE34" s="60">
        <f t="shared" si="10"/>
        <v>5139.4</v>
      </c>
      <c r="AF34" s="60">
        <f t="shared" si="11"/>
        <v>7814.3</v>
      </c>
      <c r="AG34" s="60">
        <f t="shared" si="12"/>
        <v>1945.4</v>
      </c>
      <c r="AH34" s="60">
        <f t="shared" si="13"/>
        <v>13406</v>
      </c>
      <c r="AI34" s="60">
        <f t="shared" si="14"/>
        <v>15219</v>
      </c>
    </row>
    <row r="35" spans="1:35" ht="15">
      <c r="A35" s="62">
        <v>1991</v>
      </c>
      <c r="B35" s="59">
        <v>18406.7</v>
      </c>
      <c r="C35" s="59">
        <v>1535.5</v>
      </c>
      <c r="D35" s="59">
        <v>4650</v>
      </c>
      <c r="E35" s="59">
        <v>5754.7</v>
      </c>
      <c r="F35" s="59">
        <v>19283.5</v>
      </c>
      <c r="G35" s="59">
        <v>6081</v>
      </c>
      <c r="H35" s="59">
        <v>6646.1</v>
      </c>
      <c r="I35" s="59">
        <v>28710.9</v>
      </c>
      <c r="J35" s="59">
        <v>5086.1</v>
      </c>
      <c r="K35" s="59">
        <v>8182.9</v>
      </c>
      <c r="L35" s="64">
        <v>1981.9</v>
      </c>
      <c r="M35" s="60">
        <v>13460</v>
      </c>
      <c r="N35" s="59">
        <v>15436</v>
      </c>
      <c r="O35" s="60">
        <v>104968.9</v>
      </c>
      <c r="P35" s="60">
        <v>0</v>
      </c>
      <c r="U35" s="60">
        <f t="shared" si="2"/>
        <v>104968.9</v>
      </c>
      <c r="W35" s="60">
        <f t="shared" si="15"/>
        <v>18406.7</v>
      </c>
      <c r="X35" s="60">
        <f t="shared" si="3"/>
        <v>1535.5</v>
      </c>
      <c r="Y35" s="60">
        <f t="shared" si="4"/>
        <v>4650</v>
      </c>
      <c r="Z35" s="60">
        <f t="shared" si="5"/>
        <v>5754.7</v>
      </c>
      <c r="AA35" s="60">
        <f t="shared" si="6"/>
        <v>19283.5</v>
      </c>
      <c r="AB35" s="60">
        <f t="shared" si="7"/>
        <v>6081</v>
      </c>
      <c r="AC35" s="60">
        <f t="shared" si="8"/>
        <v>6646.1</v>
      </c>
      <c r="AD35" s="60">
        <f t="shared" si="9"/>
        <v>28710.9</v>
      </c>
      <c r="AE35" s="60">
        <f t="shared" si="10"/>
        <v>5086.1</v>
      </c>
      <c r="AF35" s="60">
        <f t="shared" si="11"/>
        <v>8182.9</v>
      </c>
      <c r="AG35" s="60">
        <f t="shared" si="12"/>
        <v>1981.9</v>
      </c>
      <c r="AH35" s="60">
        <f t="shared" si="13"/>
        <v>13460</v>
      </c>
      <c r="AI35" s="60">
        <f t="shared" si="14"/>
        <v>15436</v>
      </c>
    </row>
    <row r="36" spans="1:35" ht="15">
      <c r="A36" s="62">
        <v>1992</v>
      </c>
      <c r="B36" s="59">
        <v>18104.1</v>
      </c>
      <c r="C36" s="59">
        <v>1506.6</v>
      </c>
      <c r="D36" s="59">
        <v>4492</v>
      </c>
      <c r="E36" s="59">
        <v>5718</v>
      </c>
      <c r="F36" s="59">
        <v>19356.5</v>
      </c>
      <c r="G36" s="59">
        <v>5997.1</v>
      </c>
      <c r="H36" s="59">
        <v>6601.7</v>
      </c>
      <c r="I36" s="59">
        <v>29538.9</v>
      </c>
      <c r="J36" s="59">
        <v>5315.5</v>
      </c>
      <c r="K36" s="59">
        <v>8490.1</v>
      </c>
      <c r="L36" s="64">
        <v>1973</v>
      </c>
      <c r="M36" s="60">
        <v>13760.3</v>
      </c>
      <c r="N36" s="59">
        <v>15676</v>
      </c>
      <c r="O36" s="60">
        <v>105484.3</v>
      </c>
      <c r="P36" s="60">
        <v>0</v>
      </c>
      <c r="U36" s="60">
        <f t="shared" si="2"/>
        <v>105484.3</v>
      </c>
      <c r="W36" s="60">
        <f t="shared" si="15"/>
        <v>18104.1</v>
      </c>
      <c r="X36" s="60">
        <f t="shared" si="3"/>
        <v>1506.6</v>
      </c>
      <c r="Y36" s="60">
        <f t="shared" si="4"/>
        <v>4492</v>
      </c>
      <c r="Z36" s="60">
        <f t="shared" si="5"/>
        <v>5718</v>
      </c>
      <c r="AA36" s="60">
        <f t="shared" si="6"/>
        <v>19356.5</v>
      </c>
      <c r="AB36" s="60">
        <f t="shared" si="7"/>
        <v>5997.1</v>
      </c>
      <c r="AC36" s="60">
        <f t="shared" si="8"/>
        <v>6601.7</v>
      </c>
      <c r="AD36" s="60">
        <f t="shared" si="9"/>
        <v>29538.9</v>
      </c>
      <c r="AE36" s="60">
        <f t="shared" si="10"/>
        <v>5315.5</v>
      </c>
      <c r="AF36" s="60">
        <f t="shared" si="11"/>
        <v>8490.1</v>
      </c>
      <c r="AG36" s="60">
        <f t="shared" si="12"/>
        <v>1973</v>
      </c>
      <c r="AH36" s="60">
        <f t="shared" si="13"/>
        <v>13760.3</v>
      </c>
      <c r="AI36" s="60">
        <f t="shared" si="14"/>
        <v>15676</v>
      </c>
    </row>
    <row r="37" spans="1:35" ht="15">
      <c r="A37" s="62">
        <v>1993</v>
      </c>
      <c r="B37" s="59">
        <v>18075.1</v>
      </c>
      <c r="C37" s="59">
        <v>1516.8</v>
      </c>
      <c r="D37" s="59">
        <v>4667.6</v>
      </c>
      <c r="E37" s="59">
        <v>5811.1</v>
      </c>
      <c r="F37" s="59">
        <v>19773.7</v>
      </c>
      <c r="G37" s="59">
        <v>5981.6</v>
      </c>
      <c r="H37" s="59">
        <v>6756.5</v>
      </c>
      <c r="I37" s="59">
        <v>30649.3</v>
      </c>
      <c r="J37" s="59">
        <v>5734.7</v>
      </c>
      <c r="K37" s="59">
        <v>8755.9</v>
      </c>
      <c r="L37" s="64">
        <v>2034.7</v>
      </c>
      <c r="M37" s="60">
        <v>14124</v>
      </c>
      <c r="N37" s="59">
        <v>15926</v>
      </c>
      <c r="O37" s="60">
        <v>107640.9</v>
      </c>
      <c r="P37" s="60">
        <v>0</v>
      </c>
      <c r="U37" s="60">
        <f t="shared" si="2"/>
        <v>107640.9</v>
      </c>
      <c r="W37" s="60">
        <f t="shared" si="15"/>
        <v>18075.1</v>
      </c>
      <c r="X37" s="60">
        <f t="shared" si="3"/>
        <v>1516.8</v>
      </c>
      <c r="Y37" s="60">
        <f t="shared" si="4"/>
        <v>4667.6</v>
      </c>
      <c r="Z37" s="60">
        <f t="shared" si="5"/>
        <v>5811.1</v>
      </c>
      <c r="AA37" s="60">
        <f t="shared" si="6"/>
        <v>19773.7</v>
      </c>
      <c r="AB37" s="60">
        <f t="shared" si="7"/>
        <v>5981.6</v>
      </c>
      <c r="AC37" s="60">
        <f t="shared" si="8"/>
        <v>6756.5</v>
      </c>
      <c r="AD37" s="60">
        <f t="shared" si="9"/>
        <v>30649.3</v>
      </c>
      <c r="AE37" s="60">
        <f t="shared" si="10"/>
        <v>5734.7</v>
      </c>
      <c r="AF37" s="60">
        <f t="shared" si="11"/>
        <v>8755.9</v>
      </c>
      <c r="AG37" s="60">
        <f t="shared" si="12"/>
        <v>2034.7</v>
      </c>
      <c r="AH37" s="60">
        <f t="shared" si="13"/>
        <v>14124</v>
      </c>
      <c r="AI37" s="60">
        <f t="shared" si="14"/>
        <v>15926</v>
      </c>
    </row>
    <row r="38" spans="1:35" ht="15">
      <c r="A38" s="62">
        <v>1994</v>
      </c>
      <c r="B38" s="59">
        <v>18320.9</v>
      </c>
      <c r="C38" s="59">
        <v>1537.3</v>
      </c>
      <c r="D38" s="59">
        <v>4986.3</v>
      </c>
      <c r="E38" s="59">
        <v>5984.2</v>
      </c>
      <c r="F38" s="59">
        <v>20507.2</v>
      </c>
      <c r="G38" s="59">
        <v>6162.4</v>
      </c>
      <c r="H38" s="59">
        <v>6895.2</v>
      </c>
      <c r="I38" s="59">
        <v>31845.5</v>
      </c>
      <c r="J38" s="59">
        <v>6280.8</v>
      </c>
      <c r="K38" s="59">
        <v>8991.9</v>
      </c>
      <c r="L38" s="64">
        <v>2081.6</v>
      </c>
      <c r="M38" s="60">
        <v>14491.2</v>
      </c>
      <c r="N38" s="59">
        <v>16257</v>
      </c>
      <c r="O38" s="60">
        <v>110958.7</v>
      </c>
      <c r="P38" s="60">
        <v>0</v>
      </c>
      <c r="U38" s="60">
        <f t="shared" si="2"/>
        <v>110958.7</v>
      </c>
      <c r="W38" s="60">
        <f t="shared" si="15"/>
        <v>18320.9</v>
      </c>
      <c r="X38" s="60">
        <f t="shared" si="3"/>
        <v>1537.3</v>
      </c>
      <c r="Y38" s="60">
        <f t="shared" si="4"/>
        <v>4986.3</v>
      </c>
      <c r="Z38" s="60">
        <f t="shared" si="5"/>
        <v>5984.2</v>
      </c>
      <c r="AA38" s="60">
        <f t="shared" si="6"/>
        <v>20507.2</v>
      </c>
      <c r="AB38" s="60">
        <f t="shared" si="7"/>
        <v>6162.4</v>
      </c>
      <c r="AC38" s="60">
        <f t="shared" si="8"/>
        <v>6895.2</v>
      </c>
      <c r="AD38" s="60">
        <f t="shared" si="9"/>
        <v>31845.5</v>
      </c>
      <c r="AE38" s="60">
        <f t="shared" si="10"/>
        <v>6280.8</v>
      </c>
      <c r="AF38" s="60">
        <f t="shared" si="11"/>
        <v>8991.9</v>
      </c>
      <c r="AG38" s="60">
        <f t="shared" si="12"/>
        <v>2081.6</v>
      </c>
      <c r="AH38" s="60">
        <f t="shared" si="13"/>
        <v>14491.2</v>
      </c>
      <c r="AI38" s="60">
        <f t="shared" si="14"/>
        <v>16257</v>
      </c>
    </row>
    <row r="39" spans="1:35" ht="15">
      <c r="A39" s="62">
        <v>1995</v>
      </c>
      <c r="B39" s="59">
        <v>18524</v>
      </c>
      <c r="C39" s="59">
        <v>1545.9</v>
      </c>
      <c r="D39" s="59">
        <v>5160.6</v>
      </c>
      <c r="E39" s="59">
        <v>6132.2</v>
      </c>
      <c r="F39" s="59">
        <v>21187</v>
      </c>
      <c r="G39" s="59">
        <v>6377.8</v>
      </c>
      <c r="H39" s="59">
        <v>6805.9</v>
      </c>
      <c r="I39" s="59">
        <v>33313.4</v>
      </c>
      <c r="J39" s="59">
        <v>6812.5</v>
      </c>
      <c r="K39" s="59">
        <v>9230.4</v>
      </c>
      <c r="L39" s="64">
        <v>2145.9</v>
      </c>
      <c r="M39" s="60">
        <v>15124.6</v>
      </c>
      <c r="N39" s="59">
        <v>16484</v>
      </c>
      <c r="O39" s="60">
        <v>113984.9</v>
      </c>
      <c r="P39" s="60">
        <v>0</v>
      </c>
      <c r="U39" s="60">
        <f t="shared" si="2"/>
        <v>113984.9</v>
      </c>
      <c r="W39" s="60">
        <f t="shared" si="15"/>
        <v>18524</v>
      </c>
      <c r="X39" s="60">
        <f t="shared" si="3"/>
        <v>1545.9</v>
      </c>
      <c r="Y39" s="60">
        <f t="shared" si="4"/>
        <v>5160.6</v>
      </c>
      <c r="Z39" s="60">
        <f t="shared" si="5"/>
        <v>6132.2</v>
      </c>
      <c r="AA39" s="60">
        <f t="shared" si="6"/>
        <v>21187</v>
      </c>
      <c r="AB39" s="60">
        <f t="shared" si="7"/>
        <v>6377.8</v>
      </c>
      <c r="AC39" s="60">
        <f t="shared" si="8"/>
        <v>6805.9</v>
      </c>
      <c r="AD39" s="60">
        <f t="shared" si="9"/>
        <v>33313.4</v>
      </c>
      <c r="AE39" s="60">
        <f t="shared" si="10"/>
        <v>6812.5</v>
      </c>
      <c r="AF39" s="60">
        <f t="shared" si="11"/>
        <v>9230.4</v>
      </c>
      <c r="AG39" s="60">
        <f t="shared" si="12"/>
        <v>2145.9</v>
      </c>
      <c r="AH39" s="60">
        <f t="shared" si="13"/>
        <v>15124.6</v>
      </c>
      <c r="AI39" s="60">
        <f t="shared" si="14"/>
        <v>16484</v>
      </c>
    </row>
    <row r="40" spans="1:35" ht="15">
      <c r="A40" s="62">
        <v>1996</v>
      </c>
      <c r="B40" s="59">
        <v>18495</v>
      </c>
      <c r="C40" s="59">
        <v>1540.3</v>
      </c>
      <c r="D40" s="59">
        <v>5417.7</v>
      </c>
      <c r="E40" s="59">
        <v>6253.1</v>
      </c>
      <c r="F40" s="59">
        <v>21596.8</v>
      </c>
      <c r="G40" s="59">
        <v>6482</v>
      </c>
      <c r="H40" s="59">
        <v>6911</v>
      </c>
      <c r="I40" s="59">
        <v>34595.4</v>
      </c>
      <c r="J40" s="59">
        <v>7292.9</v>
      </c>
      <c r="K40" s="59">
        <v>9478</v>
      </c>
      <c r="L40" s="64">
        <v>2201.4</v>
      </c>
      <c r="M40" s="60">
        <v>15623.1</v>
      </c>
      <c r="N40" s="59">
        <v>16662</v>
      </c>
      <c r="O40" s="60">
        <v>116413</v>
      </c>
      <c r="P40" s="60">
        <v>0</v>
      </c>
      <c r="U40" s="60">
        <f t="shared" si="2"/>
        <v>116413</v>
      </c>
      <c r="W40" s="60">
        <f t="shared" si="15"/>
        <v>18495</v>
      </c>
      <c r="X40" s="60">
        <f t="shared" si="3"/>
        <v>1540.3</v>
      </c>
      <c r="Y40" s="60">
        <f t="shared" si="4"/>
        <v>5417.7</v>
      </c>
      <c r="Z40" s="60">
        <f t="shared" si="5"/>
        <v>6253.1</v>
      </c>
      <c r="AA40" s="60">
        <f t="shared" si="6"/>
        <v>21596.8</v>
      </c>
      <c r="AB40" s="60">
        <f t="shared" si="7"/>
        <v>6482</v>
      </c>
      <c r="AC40" s="60">
        <f t="shared" si="8"/>
        <v>6911</v>
      </c>
      <c r="AD40" s="60">
        <f t="shared" si="9"/>
        <v>34595.4</v>
      </c>
      <c r="AE40" s="60">
        <f t="shared" si="10"/>
        <v>7292.9</v>
      </c>
      <c r="AF40" s="60">
        <f t="shared" si="11"/>
        <v>9478</v>
      </c>
      <c r="AG40" s="60">
        <f t="shared" si="12"/>
        <v>2201.4</v>
      </c>
      <c r="AH40" s="60">
        <f t="shared" si="13"/>
        <v>15623.1</v>
      </c>
      <c r="AI40" s="60">
        <f t="shared" si="14"/>
        <v>16662</v>
      </c>
    </row>
    <row r="41" spans="1:35" ht="15">
      <c r="A41" s="62">
        <v>1997</v>
      </c>
      <c r="B41" s="59">
        <v>18676.2</v>
      </c>
      <c r="C41" s="59">
        <v>1552.5</v>
      </c>
      <c r="D41" s="59">
        <v>5690.8</v>
      </c>
      <c r="E41" s="59">
        <v>6408.2</v>
      </c>
      <c r="F41" s="59">
        <v>21966.4</v>
      </c>
      <c r="G41" s="59">
        <v>6648.1</v>
      </c>
      <c r="H41" s="59">
        <v>7108.7</v>
      </c>
      <c r="I41" s="59">
        <v>36103.1</v>
      </c>
      <c r="J41" s="59">
        <v>7987.5</v>
      </c>
      <c r="K41" s="59">
        <v>9702.7</v>
      </c>
      <c r="L41" s="64">
        <v>2276.5</v>
      </c>
      <c r="M41" s="60">
        <v>16136.4</v>
      </c>
      <c r="N41" s="59">
        <v>16857</v>
      </c>
      <c r="O41" s="60">
        <v>119458.5</v>
      </c>
      <c r="P41" s="60">
        <v>0</v>
      </c>
      <c r="U41" s="60">
        <f t="shared" si="2"/>
        <v>119458.5</v>
      </c>
      <c r="W41" s="60">
        <f t="shared" si="15"/>
        <v>18676.2</v>
      </c>
      <c r="X41" s="60">
        <f t="shared" si="3"/>
        <v>1552.5</v>
      </c>
      <c r="Y41" s="60">
        <f t="shared" si="4"/>
        <v>5690.8</v>
      </c>
      <c r="Z41" s="60">
        <f t="shared" si="5"/>
        <v>6408.2</v>
      </c>
      <c r="AA41" s="60">
        <f t="shared" si="6"/>
        <v>21966.4</v>
      </c>
      <c r="AB41" s="60">
        <f t="shared" si="7"/>
        <v>6648.1</v>
      </c>
      <c r="AC41" s="60">
        <f t="shared" si="8"/>
        <v>7108.7</v>
      </c>
      <c r="AD41" s="60">
        <f t="shared" si="9"/>
        <v>36103.1</v>
      </c>
      <c r="AE41" s="60">
        <f t="shared" si="10"/>
        <v>7987.5</v>
      </c>
      <c r="AF41" s="60">
        <f t="shared" si="11"/>
        <v>9702.7</v>
      </c>
      <c r="AG41" s="60">
        <f t="shared" si="12"/>
        <v>2276.5</v>
      </c>
      <c r="AH41" s="60">
        <f t="shared" si="13"/>
        <v>16136.4</v>
      </c>
      <c r="AI41" s="60">
        <f t="shared" si="14"/>
        <v>16857</v>
      </c>
    </row>
    <row r="42" spans="1:35" ht="15">
      <c r="A42" s="62">
        <v>1998</v>
      </c>
      <c r="B42" s="59">
        <v>18805.1</v>
      </c>
      <c r="C42" s="59">
        <v>1564.6</v>
      </c>
      <c r="D42" s="59">
        <v>6020.1</v>
      </c>
      <c r="E42" s="59">
        <v>6610.7</v>
      </c>
      <c r="F42" s="59">
        <v>22295.2</v>
      </c>
      <c r="G42" s="59">
        <v>6799.8</v>
      </c>
      <c r="H42" s="59">
        <v>7388.6</v>
      </c>
      <c r="I42" s="59">
        <v>37566.2</v>
      </c>
      <c r="J42" s="59">
        <v>8618</v>
      </c>
      <c r="K42" s="59">
        <v>9852.4</v>
      </c>
      <c r="L42" s="64">
        <v>2372</v>
      </c>
      <c r="M42" s="60">
        <v>16723.8</v>
      </c>
      <c r="N42" s="59">
        <v>17133</v>
      </c>
      <c r="O42" s="60">
        <v>122618.7</v>
      </c>
      <c r="P42" s="60">
        <v>0</v>
      </c>
      <c r="U42" s="60">
        <f t="shared" si="2"/>
        <v>122618.7</v>
      </c>
      <c r="W42" s="60">
        <f t="shared" si="15"/>
        <v>18805.1</v>
      </c>
      <c r="X42" s="60">
        <f t="shared" si="3"/>
        <v>1564.6</v>
      </c>
      <c r="Y42" s="60">
        <f t="shared" si="4"/>
        <v>6020.1</v>
      </c>
      <c r="Z42" s="60">
        <f t="shared" si="5"/>
        <v>6610.7</v>
      </c>
      <c r="AA42" s="60">
        <f t="shared" si="6"/>
        <v>22295.2</v>
      </c>
      <c r="AB42" s="60">
        <f t="shared" si="7"/>
        <v>6799.8</v>
      </c>
      <c r="AC42" s="60">
        <f t="shared" si="8"/>
        <v>7388.6</v>
      </c>
      <c r="AD42" s="60">
        <f t="shared" si="9"/>
        <v>37566.2</v>
      </c>
      <c r="AE42" s="60">
        <f t="shared" si="10"/>
        <v>8618</v>
      </c>
      <c r="AF42" s="60">
        <f t="shared" si="11"/>
        <v>9852.4</v>
      </c>
      <c r="AG42" s="60">
        <f t="shared" si="12"/>
        <v>2372</v>
      </c>
      <c r="AH42" s="60">
        <f t="shared" si="13"/>
        <v>16723.8</v>
      </c>
      <c r="AI42" s="60">
        <f t="shared" si="14"/>
        <v>17133</v>
      </c>
    </row>
    <row r="43" spans="1:35" ht="12.75">
      <c r="A43" s="62">
        <v>1999</v>
      </c>
      <c r="B43" s="65">
        <v>18552</v>
      </c>
      <c r="C43" s="65">
        <v>1552.3</v>
      </c>
      <c r="D43" s="65">
        <v>6415</v>
      </c>
      <c r="E43" s="65">
        <v>6834</v>
      </c>
      <c r="F43" s="65">
        <v>22848</v>
      </c>
      <c r="G43" s="65">
        <v>6911</v>
      </c>
      <c r="H43" s="65">
        <v>7555</v>
      </c>
      <c r="I43" s="59">
        <v>38989</v>
      </c>
      <c r="J43" s="59">
        <v>9299.9</v>
      </c>
      <c r="K43" s="65">
        <v>9976.6</v>
      </c>
      <c r="L43" s="65">
        <v>2436</v>
      </c>
      <c r="M43" s="60">
        <v>17276.5</v>
      </c>
      <c r="N43" s="65">
        <v>17538</v>
      </c>
      <c r="O43" s="60">
        <v>125642</v>
      </c>
      <c r="P43" s="60">
        <v>0</v>
      </c>
      <c r="Q43" s="60"/>
      <c r="U43" s="60">
        <f t="shared" si="2"/>
        <v>125642</v>
      </c>
      <c r="W43" s="60">
        <f t="shared" si="15"/>
        <v>18552</v>
      </c>
      <c r="X43" s="60">
        <f t="shared" si="3"/>
        <v>1552.3</v>
      </c>
      <c r="Y43" s="60">
        <f t="shared" si="4"/>
        <v>6415</v>
      </c>
      <c r="Z43" s="60">
        <f t="shared" si="5"/>
        <v>6834</v>
      </c>
      <c r="AA43" s="60">
        <f t="shared" si="6"/>
        <v>22848</v>
      </c>
      <c r="AB43" s="60">
        <f t="shared" si="7"/>
        <v>6911</v>
      </c>
      <c r="AC43" s="60">
        <f t="shared" si="8"/>
        <v>7555</v>
      </c>
      <c r="AD43" s="60">
        <f t="shared" si="9"/>
        <v>38989</v>
      </c>
      <c r="AE43" s="60">
        <f t="shared" si="10"/>
        <v>9299.9</v>
      </c>
      <c r="AF43" s="60">
        <f t="shared" si="11"/>
        <v>9976.6</v>
      </c>
      <c r="AG43" s="60">
        <f t="shared" si="12"/>
        <v>2436</v>
      </c>
      <c r="AH43" s="60">
        <f t="shared" si="13"/>
        <v>17276.5</v>
      </c>
      <c r="AI43" s="60">
        <f t="shared" si="14"/>
        <v>17538</v>
      </c>
    </row>
    <row r="44" spans="1:35" ht="12.75">
      <c r="A44" s="61">
        <v>2000</v>
      </c>
      <c r="B44" s="65">
        <v>18473</v>
      </c>
      <c r="C44" s="65">
        <v>1547.5</v>
      </c>
      <c r="D44" s="65">
        <v>6653</v>
      </c>
      <c r="E44" s="65">
        <v>7031</v>
      </c>
      <c r="F44" s="65">
        <v>23337</v>
      </c>
      <c r="G44" s="65">
        <v>6947</v>
      </c>
      <c r="H44" s="65">
        <v>7578</v>
      </c>
      <c r="I44" s="59">
        <v>40215.1</v>
      </c>
      <c r="J44" s="65">
        <v>9852.3</v>
      </c>
      <c r="K44" s="65">
        <v>10103.4</v>
      </c>
      <c r="L44" s="65">
        <v>2466</v>
      </c>
      <c r="M44" s="66">
        <v>17793.4</v>
      </c>
      <c r="N44" s="65">
        <v>17925</v>
      </c>
      <c r="O44" s="60">
        <v>128159.1</v>
      </c>
      <c r="P44" s="60">
        <v>0</v>
      </c>
      <c r="Q44" s="60"/>
      <c r="U44" s="60">
        <f t="shared" si="2"/>
        <v>128159.1</v>
      </c>
      <c r="W44" s="60">
        <f t="shared" si="15"/>
        <v>18473</v>
      </c>
      <c r="X44" s="60">
        <f t="shared" si="3"/>
        <v>1547.5</v>
      </c>
      <c r="Y44" s="60">
        <f t="shared" si="4"/>
        <v>6653</v>
      </c>
      <c r="Z44" s="60">
        <f t="shared" si="5"/>
        <v>7031</v>
      </c>
      <c r="AA44" s="60">
        <f t="shared" si="6"/>
        <v>23337</v>
      </c>
      <c r="AB44" s="60">
        <f t="shared" si="7"/>
        <v>6947</v>
      </c>
      <c r="AC44" s="60">
        <f t="shared" si="8"/>
        <v>7578</v>
      </c>
      <c r="AD44" s="60">
        <f t="shared" si="9"/>
        <v>40215.1</v>
      </c>
      <c r="AE44" s="60">
        <f t="shared" si="10"/>
        <v>9852.3</v>
      </c>
      <c r="AF44" s="60">
        <f t="shared" si="11"/>
        <v>10103.4</v>
      </c>
      <c r="AG44" s="60">
        <f t="shared" si="12"/>
        <v>2466</v>
      </c>
      <c r="AH44" s="60">
        <f t="shared" si="13"/>
        <v>17793.4</v>
      </c>
      <c r="AI44" s="60">
        <f t="shared" si="14"/>
        <v>17925</v>
      </c>
    </row>
    <row r="45" spans="1:35" ht="12.75">
      <c r="A45" s="62">
        <v>2001</v>
      </c>
      <c r="B45" s="59">
        <v>17695</v>
      </c>
      <c r="C45" s="59">
        <v>1490.8</v>
      </c>
      <c r="D45" s="59">
        <v>6685</v>
      </c>
      <c r="E45" s="59">
        <v>7065</v>
      </c>
      <c r="F45" s="59">
        <v>23522</v>
      </c>
      <c r="G45" s="59">
        <v>6776</v>
      </c>
      <c r="H45" s="59">
        <v>7712</v>
      </c>
      <c r="I45" s="66">
        <v>40667.3</v>
      </c>
      <c r="J45" s="59">
        <v>9572.3</v>
      </c>
      <c r="K45" s="59">
        <v>10380.7</v>
      </c>
      <c r="L45" s="60">
        <v>2468</v>
      </c>
      <c r="M45" s="66">
        <v>18246.3</v>
      </c>
      <c r="N45" s="59">
        <v>18317</v>
      </c>
      <c r="O45" s="60">
        <v>128439.3</v>
      </c>
      <c r="P45" s="60">
        <v>0</v>
      </c>
      <c r="Q45" s="60"/>
      <c r="U45" s="60">
        <f t="shared" si="2"/>
        <v>128439.3</v>
      </c>
      <c r="W45" s="60">
        <f t="shared" si="15"/>
        <v>17695</v>
      </c>
      <c r="X45" s="60">
        <f t="shared" si="3"/>
        <v>1490.8</v>
      </c>
      <c r="Y45" s="60">
        <f t="shared" si="4"/>
        <v>6685</v>
      </c>
      <c r="Z45" s="60">
        <f t="shared" si="5"/>
        <v>7065</v>
      </c>
      <c r="AA45" s="60">
        <f t="shared" si="6"/>
        <v>23522</v>
      </c>
      <c r="AB45" s="60">
        <f t="shared" si="7"/>
        <v>6776</v>
      </c>
      <c r="AC45" s="60">
        <f t="shared" si="8"/>
        <v>7712</v>
      </c>
      <c r="AD45" s="60">
        <f t="shared" si="9"/>
        <v>40667.3</v>
      </c>
      <c r="AE45" s="60">
        <f t="shared" si="10"/>
        <v>9572.3</v>
      </c>
      <c r="AF45" s="60">
        <f t="shared" si="11"/>
        <v>10380.7</v>
      </c>
      <c r="AG45" s="60">
        <f t="shared" si="12"/>
        <v>2468</v>
      </c>
      <c r="AH45" s="60">
        <f t="shared" si="13"/>
        <v>18246.3</v>
      </c>
      <c r="AI45" s="60">
        <f t="shared" si="14"/>
        <v>18317</v>
      </c>
    </row>
    <row r="46" spans="1:35" ht="12.75">
      <c r="A46" s="62">
        <v>2002</v>
      </c>
      <c r="B46" s="59">
        <v>16724</v>
      </c>
      <c r="C46" s="59">
        <v>1410</v>
      </c>
      <c r="D46" s="67">
        <v>6556</v>
      </c>
      <c r="E46" s="59">
        <v>6773</v>
      </c>
      <c r="F46" s="59">
        <v>23306</v>
      </c>
      <c r="G46" s="59">
        <v>6671</v>
      </c>
      <c r="H46" s="59">
        <v>7760</v>
      </c>
      <c r="I46" s="66">
        <v>40863.5</v>
      </c>
      <c r="J46" s="59">
        <v>9305.2</v>
      </c>
      <c r="K46" s="59">
        <v>10673.1</v>
      </c>
      <c r="L46" s="60">
        <v>2476.7</v>
      </c>
      <c r="M46" s="66">
        <v>18408.5</v>
      </c>
      <c r="N46" s="59">
        <v>18640</v>
      </c>
      <c r="O46" s="60">
        <v>127293.5</v>
      </c>
      <c r="P46" s="60">
        <v>0</v>
      </c>
      <c r="Q46" s="60"/>
      <c r="U46" s="60">
        <f t="shared" si="2"/>
        <v>127293.5</v>
      </c>
      <c r="W46" s="60">
        <f t="shared" si="15"/>
        <v>16724</v>
      </c>
      <c r="X46" s="60">
        <f t="shared" si="3"/>
        <v>1410</v>
      </c>
      <c r="Y46" s="60">
        <f t="shared" si="4"/>
        <v>6556</v>
      </c>
      <c r="Z46" s="60">
        <f t="shared" si="5"/>
        <v>6773</v>
      </c>
      <c r="AA46" s="60">
        <f t="shared" si="6"/>
        <v>23306</v>
      </c>
      <c r="AB46" s="60">
        <f t="shared" si="7"/>
        <v>6671</v>
      </c>
      <c r="AC46" s="60">
        <f t="shared" si="8"/>
        <v>7760</v>
      </c>
      <c r="AD46" s="60">
        <f t="shared" si="9"/>
        <v>40863.5</v>
      </c>
      <c r="AE46" s="60">
        <f t="shared" si="10"/>
        <v>9305.2</v>
      </c>
      <c r="AF46" s="60">
        <f t="shared" si="11"/>
        <v>10673.1</v>
      </c>
      <c r="AG46" s="60">
        <f t="shared" si="12"/>
        <v>2476.7</v>
      </c>
      <c r="AH46" s="60">
        <f t="shared" si="13"/>
        <v>18408.5</v>
      </c>
      <c r="AI46" s="60">
        <f t="shared" si="14"/>
        <v>18640</v>
      </c>
    </row>
    <row r="47" spans="1:35" ht="12.75">
      <c r="A47" s="62">
        <v>2003</v>
      </c>
      <c r="B47" s="73">
        <v>16632</v>
      </c>
      <c r="C47" s="73">
        <v>1399</v>
      </c>
      <c r="D47" s="73">
        <v>6612.7</v>
      </c>
      <c r="E47" s="73">
        <v>6883.2</v>
      </c>
      <c r="F47" s="73">
        <v>23441.1</v>
      </c>
      <c r="G47" s="73">
        <v>6757.2</v>
      </c>
      <c r="H47" s="73">
        <v>7748.6</v>
      </c>
      <c r="I47" s="73">
        <v>41909.9</v>
      </c>
      <c r="J47" s="73">
        <v>9826.3</v>
      </c>
      <c r="K47" s="73">
        <v>10915.9</v>
      </c>
      <c r="L47" s="73">
        <v>2493.7</v>
      </c>
      <c r="M47" s="66">
        <v>18674</v>
      </c>
      <c r="N47" s="73">
        <v>18649.2</v>
      </c>
      <c r="O47" s="60">
        <v>128633.9</v>
      </c>
      <c r="P47" s="60">
        <v>0</v>
      </c>
      <c r="Q47" s="60"/>
      <c r="U47" s="60">
        <f t="shared" si="2"/>
        <v>128633.9</v>
      </c>
      <c r="W47" s="60">
        <f t="shared" si="15"/>
        <v>16632</v>
      </c>
      <c r="X47" s="60">
        <f t="shared" si="3"/>
        <v>1399</v>
      </c>
      <c r="Y47" s="60">
        <f t="shared" si="4"/>
        <v>6612.7</v>
      </c>
      <c r="Z47" s="60">
        <f t="shared" si="5"/>
        <v>6883.2</v>
      </c>
      <c r="AA47" s="60">
        <f t="shared" si="6"/>
        <v>23441.1</v>
      </c>
      <c r="AB47" s="60">
        <f t="shared" si="7"/>
        <v>6757.2</v>
      </c>
      <c r="AC47" s="60">
        <f t="shared" si="8"/>
        <v>7748.6</v>
      </c>
      <c r="AD47" s="60">
        <f t="shared" si="9"/>
        <v>41909.9</v>
      </c>
      <c r="AE47" s="60">
        <f t="shared" si="10"/>
        <v>9826.3</v>
      </c>
      <c r="AF47" s="60">
        <f t="shared" si="11"/>
        <v>10915.9</v>
      </c>
      <c r="AG47" s="60">
        <f t="shared" si="12"/>
        <v>2493.7</v>
      </c>
      <c r="AH47" s="60">
        <f t="shared" si="13"/>
        <v>18674</v>
      </c>
      <c r="AI47" s="60">
        <f t="shared" si="14"/>
        <v>18649.2</v>
      </c>
    </row>
    <row r="48" spans="1:35" ht="12.75">
      <c r="A48" s="62">
        <v>2004</v>
      </c>
      <c r="B48" s="73">
        <v>16638</v>
      </c>
      <c r="C48" s="73">
        <v>1395.2</v>
      </c>
      <c r="D48" s="73">
        <v>6710.4</v>
      </c>
      <c r="E48" s="73">
        <v>7038.5</v>
      </c>
      <c r="F48" s="73">
        <v>23751</v>
      </c>
      <c r="G48" s="73">
        <v>6874.4</v>
      </c>
      <c r="H48" s="73">
        <v>7787.9</v>
      </c>
      <c r="I48" s="73">
        <v>43190.3</v>
      </c>
      <c r="J48" s="73">
        <v>10418.7</v>
      </c>
      <c r="K48" s="73">
        <v>11196.5</v>
      </c>
      <c r="L48" s="73">
        <v>2521.9</v>
      </c>
      <c r="M48" s="66">
        <v>19053.2</v>
      </c>
      <c r="N48" s="73">
        <v>18744.3</v>
      </c>
      <c r="O48" s="60">
        <v>130734.8</v>
      </c>
      <c r="P48" s="60">
        <v>0</v>
      </c>
      <c r="Q48" s="60"/>
      <c r="U48" s="60">
        <f t="shared" si="2"/>
        <v>130734.8</v>
      </c>
      <c r="W48" s="60">
        <f t="shared" si="15"/>
        <v>16638</v>
      </c>
      <c r="X48" s="60">
        <f t="shared" si="3"/>
        <v>1395.2</v>
      </c>
      <c r="Y48" s="60">
        <f t="shared" si="4"/>
        <v>6710.4</v>
      </c>
      <c r="Z48" s="60">
        <f t="shared" si="5"/>
        <v>7038.5</v>
      </c>
      <c r="AA48" s="60">
        <f t="shared" si="6"/>
        <v>23751</v>
      </c>
      <c r="AB48" s="60">
        <f t="shared" si="7"/>
        <v>6874.4</v>
      </c>
      <c r="AC48" s="60">
        <f t="shared" si="8"/>
        <v>7787.9</v>
      </c>
      <c r="AD48" s="60">
        <f t="shared" si="9"/>
        <v>43190.3</v>
      </c>
      <c r="AE48" s="60">
        <f t="shared" si="10"/>
        <v>10418.7</v>
      </c>
      <c r="AF48" s="60">
        <f t="shared" si="11"/>
        <v>11196.5</v>
      </c>
      <c r="AG48" s="60">
        <f t="shared" si="12"/>
        <v>2521.9</v>
      </c>
      <c r="AH48" s="60">
        <f t="shared" si="13"/>
        <v>19053.2</v>
      </c>
      <c r="AI48" s="60">
        <f t="shared" si="14"/>
        <v>18744.3</v>
      </c>
    </row>
    <row r="49" spans="1:35" ht="12.75">
      <c r="A49" s="62">
        <v>2005</v>
      </c>
      <c r="B49" s="73">
        <v>16648.1</v>
      </c>
      <c r="C49" s="73">
        <v>1391.2</v>
      </c>
      <c r="D49" s="73">
        <v>6811.1</v>
      </c>
      <c r="E49" s="73">
        <v>7206.3</v>
      </c>
      <c r="F49" s="73">
        <v>24066.9</v>
      </c>
      <c r="G49" s="73">
        <v>6990.9</v>
      </c>
      <c r="H49" s="73">
        <v>7826.9</v>
      </c>
      <c r="I49" s="73">
        <v>44486.1</v>
      </c>
      <c r="J49" s="73">
        <v>11033.1</v>
      </c>
      <c r="K49" s="73">
        <v>11459.2</v>
      </c>
      <c r="L49" s="73">
        <v>2548.2</v>
      </c>
      <c r="M49" s="66">
        <v>19445.6</v>
      </c>
      <c r="N49" s="73">
        <v>18835</v>
      </c>
      <c r="O49" s="60">
        <v>132871.3</v>
      </c>
      <c r="P49" s="60">
        <v>0</v>
      </c>
      <c r="Q49" s="60"/>
      <c r="U49" s="60">
        <f t="shared" si="2"/>
        <v>132871.3</v>
      </c>
      <c r="W49" s="60">
        <f t="shared" si="15"/>
        <v>16648.1</v>
      </c>
      <c r="X49" s="60">
        <f t="shared" si="3"/>
        <v>1391.2</v>
      </c>
      <c r="Y49" s="60">
        <f t="shared" si="4"/>
        <v>6811.1</v>
      </c>
      <c r="Z49" s="60">
        <f t="shared" si="5"/>
        <v>7206.3</v>
      </c>
      <c r="AA49" s="60">
        <f t="shared" si="6"/>
        <v>24066.9</v>
      </c>
      <c r="AB49" s="60">
        <f t="shared" si="7"/>
        <v>6990.9</v>
      </c>
      <c r="AC49" s="60">
        <f t="shared" si="8"/>
        <v>7826.9</v>
      </c>
      <c r="AD49" s="60">
        <f t="shared" si="9"/>
        <v>44486.1</v>
      </c>
      <c r="AE49" s="60">
        <f t="shared" si="10"/>
        <v>11033.1</v>
      </c>
      <c r="AF49" s="60">
        <f t="shared" si="11"/>
        <v>11459.2</v>
      </c>
      <c r="AG49" s="60">
        <f t="shared" si="12"/>
        <v>2548.2</v>
      </c>
      <c r="AH49" s="60">
        <f t="shared" si="13"/>
        <v>19445.6</v>
      </c>
      <c r="AI49" s="60">
        <f t="shared" si="14"/>
        <v>18835</v>
      </c>
    </row>
    <row r="50" spans="1:35" ht="12.75">
      <c r="A50" s="62">
        <v>2006</v>
      </c>
      <c r="B50" s="73">
        <v>16656.2</v>
      </c>
      <c r="C50" s="73">
        <v>1386.9</v>
      </c>
      <c r="D50" s="73">
        <v>6911</v>
      </c>
      <c r="E50" s="73">
        <v>7374</v>
      </c>
      <c r="F50" s="73">
        <v>24381.4</v>
      </c>
      <c r="G50" s="73">
        <v>7107.4</v>
      </c>
      <c r="H50" s="73">
        <v>7864.5</v>
      </c>
      <c r="I50" s="73">
        <v>45804</v>
      </c>
      <c r="J50" s="73">
        <v>11671.4</v>
      </c>
      <c r="K50" s="73">
        <v>11706</v>
      </c>
      <c r="L50" s="73">
        <v>2572.8</v>
      </c>
      <c r="M50" s="66">
        <v>19853.8</v>
      </c>
      <c r="N50" s="73">
        <v>18923.1</v>
      </c>
      <c r="O50" s="60">
        <v>135021.6</v>
      </c>
      <c r="P50" s="60">
        <v>0</v>
      </c>
      <c r="Q50" s="60"/>
      <c r="U50" s="60">
        <f t="shared" si="2"/>
        <v>135021.6</v>
      </c>
      <c r="W50" s="60">
        <f t="shared" si="15"/>
        <v>16656.2</v>
      </c>
      <c r="X50" s="60">
        <f t="shared" si="3"/>
        <v>1386.9</v>
      </c>
      <c r="Y50" s="60">
        <f t="shared" si="4"/>
        <v>6911</v>
      </c>
      <c r="Z50" s="60">
        <f t="shared" si="5"/>
        <v>7374</v>
      </c>
      <c r="AA50" s="60">
        <f t="shared" si="6"/>
        <v>24381.4</v>
      </c>
      <c r="AB50" s="60">
        <f t="shared" si="7"/>
        <v>7107.4</v>
      </c>
      <c r="AC50" s="60">
        <f t="shared" si="8"/>
        <v>7864.5</v>
      </c>
      <c r="AD50" s="60">
        <f t="shared" si="9"/>
        <v>45804</v>
      </c>
      <c r="AE50" s="60">
        <f t="shared" si="10"/>
        <v>11671.4</v>
      </c>
      <c r="AF50" s="60">
        <f t="shared" si="11"/>
        <v>11706</v>
      </c>
      <c r="AG50" s="60">
        <f t="shared" si="12"/>
        <v>2572.8</v>
      </c>
      <c r="AH50" s="60">
        <f t="shared" si="13"/>
        <v>19853.8</v>
      </c>
      <c r="AI50" s="60">
        <f t="shared" si="14"/>
        <v>18923.1</v>
      </c>
    </row>
    <row r="51" spans="1:35" ht="12.75">
      <c r="A51" s="62">
        <v>2007</v>
      </c>
      <c r="B51" s="73">
        <v>16662.6</v>
      </c>
      <c r="C51" s="73">
        <v>1382.5</v>
      </c>
      <c r="D51" s="73">
        <v>7010.1</v>
      </c>
      <c r="E51" s="73">
        <v>7541.6</v>
      </c>
      <c r="F51" s="73">
        <v>24694.7</v>
      </c>
      <c r="G51" s="73">
        <v>7223.8</v>
      </c>
      <c r="H51" s="73">
        <v>7900.9</v>
      </c>
      <c r="I51" s="73">
        <v>47145</v>
      </c>
      <c r="J51" s="73">
        <v>12334.6</v>
      </c>
      <c r="K51" s="73">
        <v>11938.5</v>
      </c>
      <c r="L51" s="73">
        <v>2595.9</v>
      </c>
      <c r="M51" s="66">
        <v>20276</v>
      </c>
      <c r="N51" s="73">
        <v>19009</v>
      </c>
      <c r="O51" s="60">
        <v>137187.7</v>
      </c>
      <c r="P51" s="60">
        <v>0</v>
      </c>
      <c r="Q51" s="60"/>
      <c r="U51" s="60">
        <f t="shared" si="2"/>
        <v>137187.7</v>
      </c>
      <c r="W51" s="60">
        <f t="shared" si="15"/>
        <v>16662.6</v>
      </c>
      <c r="X51" s="60">
        <f t="shared" si="3"/>
        <v>1382.5</v>
      </c>
      <c r="Y51" s="60">
        <f t="shared" si="4"/>
        <v>7010.1</v>
      </c>
      <c r="Z51" s="60">
        <f t="shared" si="5"/>
        <v>7541.6</v>
      </c>
      <c r="AA51" s="60">
        <f t="shared" si="6"/>
        <v>24694.7</v>
      </c>
      <c r="AB51" s="60">
        <f t="shared" si="7"/>
        <v>7223.8</v>
      </c>
      <c r="AC51" s="60">
        <f t="shared" si="8"/>
        <v>7900.9</v>
      </c>
      <c r="AD51" s="60">
        <f t="shared" si="9"/>
        <v>47145</v>
      </c>
      <c r="AE51" s="60">
        <f t="shared" si="10"/>
        <v>12334.6</v>
      </c>
      <c r="AF51" s="60">
        <f t="shared" si="11"/>
        <v>11938.5</v>
      </c>
      <c r="AG51" s="60">
        <f t="shared" si="12"/>
        <v>2595.9</v>
      </c>
      <c r="AH51" s="60">
        <f t="shared" si="13"/>
        <v>20276</v>
      </c>
      <c r="AI51" s="60">
        <f t="shared" si="14"/>
        <v>19009</v>
      </c>
    </row>
    <row r="52" spans="1:35" ht="12.75">
      <c r="A52" s="62">
        <v>2008</v>
      </c>
      <c r="B52" s="73">
        <v>16667.7</v>
      </c>
      <c r="C52" s="73">
        <v>1377.9</v>
      </c>
      <c r="D52" s="73">
        <v>7108.5</v>
      </c>
      <c r="E52" s="73">
        <v>7709.1</v>
      </c>
      <c r="F52" s="73">
        <v>25007.3</v>
      </c>
      <c r="G52" s="73">
        <v>7340.3</v>
      </c>
      <c r="H52" s="73">
        <v>7936.1</v>
      </c>
      <c r="I52" s="73">
        <v>48510.2</v>
      </c>
      <c r="J52" s="73">
        <v>13023.1</v>
      </c>
      <c r="K52" s="73">
        <v>12157.7</v>
      </c>
      <c r="L52" s="73">
        <v>2617.6</v>
      </c>
      <c r="M52" s="66">
        <v>20711.8</v>
      </c>
      <c r="N52" s="73">
        <v>19092.9</v>
      </c>
      <c r="O52" s="60">
        <v>139372.1</v>
      </c>
      <c r="P52" s="60">
        <v>0</v>
      </c>
      <c r="Q52" s="60"/>
      <c r="U52" s="60">
        <f t="shared" si="2"/>
        <v>139372.1</v>
      </c>
      <c r="W52" s="60">
        <f t="shared" si="15"/>
        <v>16667.7</v>
      </c>
      <c r="X52" s="60">
        <f t="shared" si="3"/>
        <v>1377.9</v>
      </c>
      <c r="Y52" s="60">
        <f t="shared" si="4"/>
        <v>7108.5</v>
      </c>
      <c r="Z52" s="60">
        <f t="shared" si="5"/>
        <v>7709.1</v>
      </c>
      <c r="AA52" s="60">
        <f t="shared" si="6"/>
        <v>25007.3</v>
      </c>
      <c r="AB52" s="60">
        <f t="shared" si="7"/>
        <v>7340.3</v>
      </c>
      <c r="AC52" s="60">
        <f t="shared" si="8"/>
        <v>7936.1</v>
      </c>
      <c r="AD52" s="60">
        <f t="shared" si="9"/>
        <v>48510.2</v>
      </c>
      <c r="AE52" s="60">
        <f t="shared" si="10"/>
        <v>13023.1</v>
      </c>
      <c r="AF52" s="60">
        <f t="shared" si="11"/>
        <v>12157.7</v>
      </c>
      <c r="AG52" s="60">
        <f t="shared" si="12"/>
        <v>2617.6</v>
      </c>
      <c r="AH52" s="60">
        <f t="shared" si="13"/>
        <v>20711.8</v>
      </c>
      <c r="AI52" s="60">
        <f t="shared" si="14"/>
        <v>19092.9</v>
      </c>
    </row>
    <row r="53" spans="1:35" ht="12.75">
      <c r="A53" s="62">
        <v>2009</v>
      </c>
      <c r="B53" s="73">
        <v>16671.4</v>
      </c>
      <c r="C53" s="73">
        <v>1373.2</v>
      </c>
      <c r="D53" s="73">
        <v>7206.3</v>
      </c>
      <c r="E53" s="73">
        <v>7876.4</v>
      </c>
      <c r="F53" s="73">
        <v>25319.1</v>
      </c>
      <c r="G53" s="73">
        <v>7456.9</v>
      </c>
      <c r="H53" s="73">
        <v>7970.2</v>
      </c>
      <c r="I53" s="73">
        <v>49899.7</v>
      </c>
      <c r="J53" s="73">
        <v>13737.8</v>
      </c>
      <c r="K53" s="73">
        <v>12364.4</v>
      </c>
      <c r="L53" s="73">
        <v>2638</v>
      </c>
      <c r="M53" s="66">
        <v>21159.5</v>
      </c>
      <c r="N53" s="73">
        <v>19175</v>
      </c>
      <c r="O53" s="60">
        <v>141575</v>
      </c>
      <c r="P53" s="60">
        <v>0</v>
      </c>
      <c r="Q53" s="60"/>
      <c r="U53" s="60">
        <f t="shared" si="2"/>
        <v>141575</v>
      </c>
      <c r="W53" s="60">
        <f t="shared" si="15"/>
        <v>16671.4</v>
      </c>
      <c r="X53" s="60">
        <f t="shared" si="3"/>
        <v>1373.2</v>
      </c>
      <c r="Y53" s="60">
        <f t="shared" si="4"/>
        <v>7206.3</v>
      </c>
      <c r="Z53" s="60">
        <f t="shared" si="5"/>
        <v>7876.4</v>
      </c>
      <c r="AA53" s="60">
        <f t="shared" si="6"/>
        <v>25319.1</v>
      </c>
      <c r="AB53" s="60">
        <f t="shared" si="7"/>
        <v>7456.9</v>
      </c>
      <c r="AC53" s="60">
        <f t="shared" si="8"/>
        <v>7970.2</v>
      </c>
      <c r="AD53" s="60">
        <f t="shared" si="9"/>
        <v>49899.7</v>
      </c>
      <c r="AE53" s="60">
        <f t="shared" si="10"/>
        <v>13737.8</v>
      </c>
      <c r="AF53" s="60">
        <f t="shared" si="11"/>
        <v>12364.4</v>
      </c>
      <c r="AG53" s="60">
        <f t="shared" si="12"/>
        <v>2638</v>
      </c>
      <c r="AH53" s="60">
        <f t="shared" si="13"/>
        <v>21159.5</v>
      </c>
      <c r="AI53" s="60">
        <f t="shared" si="14"/>
        <v>19175</v>
      </c>
    </row>
    <row r="54" spans="1:35" ht="12.75">
      <c r="A54" s="69">
        <v>2010</v>
      </c>
      <c r="B54" s="73">
        <v>16682.3</v>
      </c>
      <c r="C54" s="73">
        <v>1367.3</v>
      </c>
      <c r="D54" s="73">
        <v>7310.3</v>
      </c>
      <c r="E54" s="73">
        <v>8040.9</v>
      </c>
      <c r="F54" s="73">
        <v>25656</v>
      </c>
      <c r="G54" s="73">
        <v>7580.2</v>
      </c>
      <c r="H54" s="73">
        <v>8014.3</v>
      </c>
      <c r="I54" s="73">
        <v>51407.3</v>
      </c>
      <c r="J54" s="73">
        <v>14502</v>
      </c>
      <c r="K54" s="73">
        <v>12569.6</v>
      </c>
      <c r="L54" s="73">
        <v>2657.3</v>
      </c>
      <c r="M54" s="66">
        <v>21678.4</v>
      </c>
      <c r="N54" s="73">
        <v>19255.5</v>
      </c>
      <c r="O54" s="60">
        <v>143946.8</v>
      </c>
      <c r="P54" s="60">
        <v>0</v>
      </c>
      <c r="Q54" s="60"/>
      <c r="U54" s="60">
        <f t="shared" si="2"/>
        <v>143946.8</v>
      </c>
      <c r="W54" s="60">
        <f t="shared" si="15"/>
        <v>16682.3</v>
      </c>
      <c r="X54" s="60">
        <f t="shared" si="3"/>
        <v>1367.3</v>
      </c>
      <c r="Y54" s="60">
        <f t="shared" si="4"/>
        <v>7310.3</v>
      </c>
      <c r="Z54" s="60">
        <f t="shared" si="5"/>
        <v>8040.9</v>
      </c>
      <c r="AA54" s="60">
        <f t="shared" si="6"/>
        <v>25656</v>
      </c>
      <c r="AB54" s="60">
        <f t="shared" si="7"/>
        <v>7580.2</v>
      </c>
      <c r="AC54" s="60">
        <f t="shared" si="8"/>
        <v>8014.3</v>
      </c>
      <c r="AD54" s="60">
        <f t="shared" si="9"/>
        <v>51407.3</v>
      </c>
      <c r="AE54" s="60">
        <f t="shared" si="10"/>
        <v>14502</v>
      </c>
      <c r="AF54" s="60">
        <f t="shared" si="11"/>
        <v>12569.6</v>
      </c>
      <c r="AG54" s="60">
        <f t="shared" si="12"/>
        <v>2657.3</v>
      </c>
      <c r="AH54" s="60">
        <f t="shared" si="13"/>
        <v>21678.4</v>
      </c>
      <c r="AI54" s="60">
        <f t="shared" si="14"/>
        <v>19255.5</v>
      </c>
    </row>
    <row r="55" spans="1:37" ht="12.75">
      <c r="A55" s="62">
        <v>2011</v>
      </c>
      <c r="B55" s="73">
        <v>16648.3</v>
      </c>
      <c r="C55" s="73">
        <v>1364.7</v>
      </c>
      <c r="D55" s="73">
        <v>7355.4</v>
      </c>
      <c r="E55" s="73">
        <v>8136.5</v>
      </c>
      <c r="F55" s="73">
        <v>25859.1</v>
      </c>
      <c r="G55" s="73">
        <v>7665.7</v>
      </c>
      <c r="H55" s="73">
        <v>8051.1</v>
      </c>
      <c r="I55" s="73">
        <v>52149.6</v>
      </c>
      <c r="J55" s="73">
        <v>14714.4</v>
      </c>
      <c r="K55" s="73">
        <v>12771.5</v>
      </c>
      <c r="L55" s="73">
        <v>2663.5</v>
      </c>
      <c r="M55" s="66">
        <v>22000.2</v>
      </c>
      <c r="N55" s="73">
        <v>19376.1</v>
      </c>
      <c r="O55" s="60">
        <v>145241.8</v>
      </c>
      <c r="P55" s="60">
        <v>0</v>
      </c>
      <c r="Q55" s="60"/>
      <c r="U55" s="60">
        <f>(O55-O54)/(O$59-O$54)*(U$59-U$54)+U54</f>
        <v>143946.8</v>
      </c>
      <c r="W55" s="60">
        <f>ROUND((NationalDataInterm!W55/NationalDataInterm!B55)*B55,1)</f>
        <v>16609.2</v>
      </c>
      <c r="X55" s="60">
        <f>ROUND((NationalDataInterm!X55/NationalDataInterm!C55)*C55,1)</f>
        <v>1361.5</v>
      </c>
      <c r="Y55" s="60">
        <f>ROUND((NationalDataInterm!Y55/NationalDataInterm!D55)*D55,1)</f>
        <v>7338.1</v>
      </c>
      <c r="Z55" s="60">
        <f>ROUND((NationalDataInterm!Z55/NationalDataInterm!E55)*E55,1)</f>
        <v>8117.4</v>
      </c>
      <c r="AA55" s="60">
        <f>ROUND((NationalDataInterm!AA55/NationalDataInterm!F55)*F55,1)</f>
        <v>25798.3</v>
      </c>
      <c r="AB55" s="60">
        <f>ROUND((NationalDataInterm!AB55/NationalDataInterm!G55)*G55,1)</f>
        <v>7647.7</v>
      </c>
      <c r="AC55" s="60">
        <f>ROUND((NationalDataInterm!AC55/NationalDataInterm!H55)*H55,1)</f>
        <v>8032.2</v>
      </c>
      <c r="AD55" s="60">
        <f>ROUND((NationalDataInterm!AD55/NationalDataInterm!I55)*I55,1)</f>
        <v>52027</v>
      </c>
      <c r="AE55" s="60">
        <f>ROUND((NationalDataInterm!AE55/NationalDataInterm!J55)*J55,1)</f>
        <v>14679.8</v>
      </c>
      <c r="AF55" s="60">
        <f>ROUND((NationalDataInterm!AF55/NationalDataInterm!K55)*K55,1)</f>
        <v>12741.5</v>
      </c>
      <c r="AG55" s="60">
        <f>ROUND((NationalDataInterm!AG55/NationalDataInterm!L55)*L55,1)</f>
        <v>2657.2</v>
      </c>
      <c r="AH55" s="60">
        <f>ROUND((NationalDataInterm!AH55/NationalDataInterm!M55)*M55,1)</f>
        <v>21948.5</v>
      </c>
      <c r="AI55" s="60">
        <f>ROUND((NationalDataInterm!AI55/NationalDataInterm!N55)*N55,1)</f>
        <v>19330.5</v>
      </c>
      <c r="AK55" s="60">
        <f>AD55-SUM(AE55:AH55)</f>
        <v>0</v>
      </c>
    </row>
    <row r="56" spans="1:37" ht="12.75">
      <c r="A56" s="62">
        <v>2012</v>
      </c>
      <c r="B56" s="73">
        <v>16621</v>
      </c>
      <c r="C56" s="73">
        <v>1361.6</v>
      </c>
      <c r="D56" s="73">
        <v>7398.2</v>
      </c>
      <c r="E56" s="73">
        <v>8229.4</v>
      </c>
      <c r="F56" s="73">
        <v>26062.7</v>
      </c>
      <c r="G56" s="73">
        <v>7738.8</v>
      </c>
      <c r="H56" s="73">
        <v>8089.3</v>
      </c>
      <c r="I56" s="73">
        <v>52941.1</v>
      </c>
      <c r="J56" s="73">
        <v>15166.4</v>
      </c>
      <c r="K56" s="73">
        <v>12981.4</v>
      </c>
      <c r="L56" s="73">
        <v>2670.6</v>
      </c>
      <c r="M56" s="66">
        <v>22122.7</v>
      </c>
      <c r="N56" s="73">
        <v>19495.1</v>
      </c>
      <c r="O56" s="60">
        <v>146575.6</v>
      </c>
      <c r="P56" s="60">
        <v>0</v>
      </c>
      <c r="Q56" s="60"/>
      <c r="U56" s="60">
        <f>(O56-O55)/(O$59-O$54)*(U$59-U$54)+U55</f>
        <v>143946.8</v>
      </c>
      <c r="W56" s="60">
        <f>ROUND((NationalDataInterm!W56/NationalDataInterm!B56)*B56,1)</f>
        <v>16542.4</v>
      </c>
      <c r="X56" s="60">
        <f>ROUND((NationalDataInterm!X56/NationalDataInterm!C56)*C56,1)</f>
        <v>1355.2</v>
      </c>
      <c r="Y56" s="60">
        <f>ROUND((NationalDataInterm!Y56/NationalDataInterm!D56)*D56,1)</f>
        <v>7363.2</v>
      </c>
      <c r="Z56" s="60">
        <f>ROUND((NationalDataInterm!Z56/NationalDataInterm!E56)*E56,1)</f>
        <v>8190.5</v>
      </c>
      <c r="AA56" s="60">
        <f>ROUND((NationalDataInterm!AA56/NationalDataInterm!F56)*F56,1)</f>
        <v>25939.4</v>
      </c>
      <c r="AB56" s="60">
        <f>ROUND((NationalDataInterm!AB56/NationalDataInterm!G56)*G56,1)</f>
        <v>7702.2</v>
      </c>
      <c r="AC56" s="60">
        <f>ROUND((NationalDataInterm!AC56/NationalDataInterm!H56)*H56,1)</f>
        <v>8051</v>
      </c>
      <c r="AD56" s="60">
        <f>ROUND((NationalDataInterm!AD56/NationalDataInterm!I56)*I56,1)</f>
        <v>52690.7</v>
      </c>
      <c r="AE56" s="60">
        <f>ROUND((NationalDataInterm!AE56/NationalDataInterm!J56)*J56,1)</f>
        <v>15094.7</v>
      </c>
      <c r="AF56" s="60">
        <f>ROUND((NationalDataInterm!AF56/NationalDataInterm!K56)*K56,1)</f>
        <v>12920</v>
      </c>
      <c r="AG56" s="60">
        <f>ROUND((NationalDataInterm!AG56/NationalDataInterm!L56)*L56,1)</f>
        <v>2658</v>
      </c>
      <c r="AH56" s="60">
        <f>ROUND((NationalDataInterm!AH56/NationalDataInterm!M56)*M56,1)</f>
        <v>22018.1</v>
      </c>
      <c r="AI56" s="60">
        <f>ROUND((NationalDataInterm!AI56/NationalDataInterm!N56)*N56,1)</f>
        <v>19402.9</v>
      </c>
      <c r="AK56" s="60">
        <f aca="true" t="shared" si="16" ref="AK56:AK74">AD56-SUM(AE56:AH56)</f>
        <v>-0.10000000000582077</v>
      </c>
    </row>
    <row r="57" spans="1:37" ht="12.75">
      <c r="A57" s="62">
        <v>2013</v>
      </c>
      <c r="B57" s="73">
        <v>16592</v>
      </c>
      <c r="C57" s="73">
        <v>1358.8</v>
      </c>
      <c r="D57" s="73">
        <v>7442</v>
      </c>
      <c r="E57" s="73">
        <v>8322.4</v>
      </c>
      <c r="F57" s="73">
        <v>26251.4</v>
      </c>
      <c r="G57" s="73">
        <v>7804.4</v>
      </c>
      <c r="H57" s="73">
        <v>8126.7</v>
      </c>
      <c r="I57" s="73">
        <v>53710.8</v>
      </c>
      <c r="J57" s="73">
        <v>15627.3</v>
      </c>
      <c r="K57" s="73">
        <v>13193.8</v>
      </c>
      <c r="L57" s="73">
        <v>2677.4</v>
      </c>
      <c r="M57" s="66">
        <v>22212.3</v>
      </c>
      <c r="N57" s="73">
        <v>19612.6</v>
      </c>
      <c r="O57" s="60">
        <v>147862.3</v>
      </c>
      <c r="P57" s="60">
        <v>0</v>
      </c>
      <c r="Q57" s="60"/>
      <c r="U57" s="60">
        <f>(O57-O56)/(O$59-O$54)*(U$59-U$54)+U56</f>
        <v>143946.8</v>
      </c>
      <c r="W57" s="60">
        <f>ROUND((NationalDataInterm!W57/NationalDataInterm!B57)*B57,1)</f>
        <v>16475.4</v>
      </c>
      <c r="X57" s="60">
        <f>ROUND((NationalDataInterm!X57/NationalDataInterm!C57)*C57,1)</f>
        <v>1349.3</v>
      </c>
      <c r="Y57" s="60">
        <f>ROUND((NationalDataInterm!Y57/NationalDataInterm!D57)*D57,1)</f>
        <v>7389.7</v>
      </c>
      <c r="Z57" s="60">
        <f>ROUND((NationalDataInterm!Z57/NationalDataInterm!E57)*E57,1)</f>
        <v>8263.9</v>
      </c>
      <c r="AA57" s="60">
        <f>ROUND((NationalDataInterm!AA57/NationalDataInterm!F57)*F57,1)</f>
        <v>26066.9</v>
      </c>
      <c r="AB57" s="60">
        <f>ROUND((NationalDataInterm!AB57/NationalDataInterm!G57)*G57,1)</f>
        <v>7749.6</v>
      </c>
      <c r="AC57" s="60">
        <f>ROUND((NationalDataInterm!AC57/NationalDataInterm!H57)*H57,1)</f>
        <v>8069.6</v>
      </c>
      <c r="AD57" s="60">
        <f>ROUND((NationalDataInterm!AD57/NationalDataInterm!I57)*I57,1)</f>
        <v>53333.4</v>
      </c>
      <c r="AE57" s="60">
        <f>ROUND((NationalDataInterm!AE57/NationalDataInterm!J57)*J57,1)</f>
        <v>15517.5</v>
      </c>
      <c r="AF57" s="60">
        <f>ROUND((NationalDataInterm!AF57/NationalDataInterm!K57)*K57,1)</f>
        <v>13101.1</v>
      </c>
      <c r="AG57" s="60">
        <f>ROUND((NationalDataInterm!AG57/NationalDataInterm!L57)*L57,1)</f>
        <v>2658.6</v>
      </c>
      <c r="AH57" s="60">
        <f>ROUND((NationalDataInterm!AH57/NationalDataInterm!M57)*M57,1)</f>
        <v>22056.2</v>
      </c>
      <c r="AI57" s="60">
        <f>ROUND((NationalDataInterm!AI57/NationalDataInterm!N57)*N57,1)</f>
        <v>19474.8</v>
      </c>
      <c r="AK57" s="60">
        <f t="shared" si="16"/>
        <v>0</v>
      </c>
    </row>
    <row r="58" spans="1:37" ht="12.75">
      <c r="A58" s="62">
        <v>2014</v>
      </c>
      <c r="B58" s="73">
        <v>16561.6</v>
      </c>
      <c r="C58" s="73">
        <v>1355.8</v>
      </c>
      <c r="D58" s="73">
        <v>7485.4</v>
      </c>
      <c r="E58" s="73">
        <v>8415.6</v>
      </c>
      <c r="F58" s="73">
        <v>26437.2</v>
      </c>
      <c r="G58" s="73">
        <v>7864</v>
      </c>
      <c r="H58" s="73">
        <v>8163.5</v>
      </c>
      <c r="I58" s="73">
        <v>54485.7</v>
      </c>
      <c r="J58" s="73">
        <v>16096.6</v>
      </c>
      <c r="K58" s="73">
        <v>13408.2</v>
      </c>
      <c r="L58" s="73">
        <v>2684.1</v>
      </c>
      <c r="M58" s="66">
        <v>22296.8</v>
      </c>
      <c r="N58" s="73">
        <v>19728.6</v>
      </c>
      <c r="O58" s="60">
        <v>149141.6</v>
      </c>
      <c r="P58" s="60">
        <v>0</v>
      </c>
      <c r="Q58" s="60"/>
      <c r="U58" s="60">
        <f>(O58-O57)/(O$59-O$54)*(U$59-U$54)+U57</f>
        <v>143946.8</v>
      </c>
      <c r="W58" s="60">
        <f>ROUND((NationalDataInterm!W58/NationalDataInterm!B58)*B58,1)</f>
        <v>16407.7</v>
      </c>
      <c r="X58" s="60">
        <f>ROUND((NationalDataInterm!X58/NationalDataInterm!C58)*C58,1)</f>
        <v>1343.2</v>
      </c>
      <c r="Y58" s="60">
        <f>ROUND((NationalDataInterm!Y58/NationalDataInterm!D58)*D58,1)</f>
        <v>7415.9</v>
      </c>
      <c r="Z58" s="60">
        <f>ROUND((NationalDataInterm!Z58/NationalDataInterm!E58)*E58,1)</f>
        <v>8337.4</v>
      </c>
      <c r="AA58" s="60">
        <f>ROUND((NationalDataInterm!AA58/NationalDataInterm!F58)*F58,1)</f>
        <v>26191.6</v>
      </c>
      <c r="AB58" s="60">
        <f>ROUND((NationalDataInterm!AB58/NationalDataInterm!G58)*G58,1)</f>
        <v>7790.9</v>
      </c>
      <c r="AC58" s="60">
        <f>ROUND((NationalDataInterm!AC58/NationalDataInterm!H58)*H58,1)</f>
        <v>8087.7</v>
      </c>
      <c r="AD58" s="60">
        <f>ROUND((NationalDataInterm!AD58/NationalDataInterm!I58)*I58,1)</f>
        <v>53979.5</v>
      </c>
      <c r="AE58" s="60">
        <f>ROUND((NationalDataInterm!AE58/NationalDataInterm!J58)*J58,1)</f>
        <v>15947</v>
      </c>
      <c r="AF58" s="60">
        <f>ROUND((NationalDataInterm!AF58/NationalDataInterm!K58)*K58,1)</f>
        <v>13283.6</v>
      </c>
      <c r="AG58" s="60">
        <f>ROUND((NationalDataInterm!AG58/NationalDataInterm!L58)*L58,1)</f>
        <v>2659.2</v>
      </c>
      <c r="AH58" s="60">
        <f>ROUND((NationalDataInterm!AH58/NationalDataInterm!M58)*M58,1)</f>
        <v>22089.6</v>
      </c>
      <c r="AI58" s="60">
        <f>ROUND((NationalDataInterm!AI58/NationalDataInterm!N58)*N58,1)</f>
        <v>19545.3</v>
      </c>
      <c r="AK58" s="60">
        <f t="shared" si="16"/>
        <v>0.10000000000582077</v>
      </c>
    </row>
    <row r="59" spans="1:37" ht="12.75">
      <c r="A59" s="62">
        <v>2015</v>
      </c>
      <c r="B59" s="73">
        <v>16529.8</v>
      </c>
      <c r="C59" s="73">
        <v>1352.6</v>
      </c>
      <c r="D59" s="73">
        <v>7528.2</v>
      </c>
      <c r="E59" s="73">
        <v>8484</v>
      </c>
      <c r="F59" s="73">
        <v>26620.1</v>
      </c>
      <c r="G59" s="73">
        <v>7919</v>
      </c>
      <c r="H59" s="73">
        <v>8199.6</v>
      </c>
      <c r="I59" s="73">
        <v>55265.8</v>
      </c>
      <c r="J59" s="73">
        <v>16574.5</v>
      </c>
      <c r="K59" s="73">
        <v>13624.6</v>
      </c>
      <c r="L59" s="73">
        <v>2690.6</v>
      </c>
      <c r="M59" s="66">
        <v>22376.1</v>
      </c>
      <c r="N59" s="73">
        <v>19843.3</v>
      </c>
      <c r="O59" s="60">
        <v>150389.8</v>
      </c>
      <c r="P59" s="60">
        <v>0</v>
      </c>
      <c r="Q59" s="60"/>
      <c r="U59" s="73">
        <f>U54*(1+S95)</f>
        <v>143946.8</v>
      </c>
      <c r="W59" s="60">
        <f>ROUND((NationalDataInterm!W59/NationalDataInterm!B59)*B59,1)</f>
        <v>16339.8</v>
      </c>
      <c r="X59" s="60">
        <f>ROUND((NationalDataInterm!X59/NationalDataInterm!C59)*C59,1)</f>
        <v>1337.1</v>
      </c>
      <c r="Y59" s="60">
        <f>ROUND((NationalDataInterm!Y59/NationalDataInterm!D59)*D59,1)</f>
        <v>7441.7</v>
      </c>
      <c r="Z59" s="60">
        <f>ROUND((NationalDataInterm!Z59/NationalDataInterm!E59)*E59,1)</f>
        <v>8386.5</v>
      </c>
      <c r="AA59" s="60">
        <f>ROUND((NationalDataInterm!AA59/NationalDataInterm!F59)*F59,1)</f>
        <v>26314.1</v>
      </c>
      <c r="AB59" s="60">
        <f>ROUND((NationalDataInterm!AB59/NationalDataInterm!G59)*G59,1)</f>
        <v>7828</v>
      </c>
      <c r="AC59" s="60">
        <f>ROUND((NationalDataInterm!AC59/NationalDataInterm!H59)*H59,1)</f>
        <v>8105.3</v>
      </c>
      <c r="AD59" s="60">
        <f>ROUND((NationalDataInterm!AD59/NationalDataInterm!I59)*I59,1)</f>
        <v>54630.4</v>
      </c>
      <c r="AE59" s="60">
        <f>ROUND((NationalDataInterm!AE59/NationalDataInterm!J59)*J59,1)</f>
        <v>16384</v>
      </c>
      <c r="AF59" s="60">
        <f>ROUND((NationalDataInterm!AF59/NationalDataInterm!K59)*K59,1)</f>
        <v>13468</v>
      </c>
      <c r="AG59" s="60">
        <f>ROUND((NationalDataInterm!AG59/NationalDataInterm!L59)*L59,1)</f>
        <v>2659.7</v>
      </c>
      <c r="AH59" s="60">
        <f>ROUND((NationalDataInterm!AH59/NationalDataInterm!M59)*M59,1)</f>
        <v>22118.9</v>
      </c>
      <c r="AI59" s="60">
        <f>ROUND((NationalDataInterm!AI59/NationalDataInterm!N59)*N59,1)</f>
        <v>19615.2</v>
      </c>
      <c r="AK59" s="60">
        <f t="shared" si="16"/>
        <v>-0.20000000000436557</v>
      </c>
    </row>
    <row r="60" spans="1:37" ht="12.75">
      <c r="A60" s="62">
        <v>2016</v>
      </c>
      <c r="B60" s="73">
        <v>16497</v>
      </c>
      <c r="C60" s="73">
        <v>1349.5</v>
      </c>
      <c r="D60" s="73">
        <v>7564.1</v>
      </c>
      <c r="E60" s="73">
        <v>8533.6</v>
      </c>
      <c r="F60" s="73">
        <v>26800.2</v>
      </c>
      <c r="G60" s="73">
        <v>7970.7</v>
      </c>
      <c r="H60" s="73">
        <v>8231.8</v>
      </c>
      <c r="I60" s="73">
        <v>56051.3</v>
      </c>
      <c r="J60" s="73">
        <v>17061</v>
      </c>
      <c r="K60" s="73">
        <v>13843.1</v>
      </c>
      <c r="L60" s="73">
        <v>2696.4</v>
      </c>
      <c r="M60" s="66">
        <v>22450.8</v>
      </c>
      <c r="N60" s="73">
        <v>19954.1</v>
      </c>
      <c r="O60" s="60">
        <v>151602.8</v>
      </c>
      <c r="P60" s="60">
        <v>0</v>
      </c>
      <c r="Q60" s="60"/>
      <c r="U60" s="60">
        <f>(O60-O59)/(O$64-O$59)*(U$64-U$59)+U59</f>
        <v>143946.8</v>
      </c>
      <c r="W60" s="60">
        <f>ROUND((NationalDataInterm!W60/NationalDataInterm!B60)*B60,1)</f>
        <v>16241.9</v>
      </c>
      <c r="X60" s="60">
        <f>ROUND((NationalDataInterm!X60/NationalDataInterm!C60)*C60,1)</f>
        <v>1328.6</v>
      </c>
      <c r="Y60" s="60">
        <f>ROUND((NationalDataInterm!Y60/NationalDataInterm!D60)*D60,1)</f>
        <v>7447.2</v>
      </c>
      <c r="Z60" s="60">
        <f>ROUND((NationalDataInterm!Z60/NationalDataInterm!E60)*E60,1)</f>
        <v>8401.7</v>
      </c>
      <c r="AA60" s="60">
        <f>ROUND((NationalDataInterm!AA60/NationalDataInterm!F60)*F60,1)</f>
        <v>26385.8</v>
      </c>
      <c r="AB60" s="60">
        <f>ROUND((NationalDataInterm!AB60/NationalDataInterm!G60)*G60,1)</f>
        <v>7847.5</v>
      </c>
      <c r="AC60" s="60">
        <f>ROUND((NationalDataInterm!AC60/NationalDataInterm!H60)*H60,1)</f>
        <v>8104.5</v>
      </c>
      <c r="AD60" s="60">
        <f>ROUND((NationalDataInterm!AD60/NationalDataInterm!I60)*I60,1)</f>
        <v>55184.7</v>
      </c>
      <c r="AE60" s="60">
        <f>ROUND((NationalDataInterm!AE60/NationalDataInterm!J60)*J60,1)</f>
        <v>16797.2</v>
      </c>
      <c r="AF60" s="60">
        <f>ROUND((NationalDataInterm!AF60/NationalDataInterm!K60)*K60,1)</f>
        <v>13629.1</v>
      </c>
      <c r="AG60" s="60">
        <f>ROUND((NationalDataInterm!AG60/NationalDataInterm!L60)*L60,1)</f>
        <v>2654.7</v>
      </c>
      <c r="AH60" s="60">
        <f>ROUND((NationalDataInterm!AH60/NationalDataInterm!M60)*M60,1)</f>
        <v>22103.7</v>
      </c>
      <c r="AI60" s="60">
        <f>ROUND((NationalDataInterm!AI60/NationalDataInterm!N60)*N60,1)</f>
        <v>19645.6</v>
      </c>
      <c r="AK60" s="60">
        <f t="shared" si="16"/>
        <v>0</v>
      </c>
    </row>
    <row r="61" spans="1:37" ht="12.75">
      <c r="A61" s="62">
        <v>2017</v>
      </c>
      <c r="B61" s="73">
        <v>16462.7</v>
      </c>
      <c r="C61" s="73">
        <v>1346.3</v>
      </c>
      <c r="D61" s="73">
        <v>7599.4</v>
      </c>
      <c r="E61" s="73">
        <v>8581.1</v>
      </c>
      <c r="F61" s="73">
        <v>26977.2</v>
      </c>
      <c r="G61" s="73">
        <v>8019.4</v>
      </c>
      <c r="H61" s="73">
        <v>8263.4</v>
      </c>
      <c r="I61" s="73">
        <v>56842</v>
      </c>
      <c r="J61" s="73">
        <v>17556</v>
      </c>
      <c r="K61" s="73">
        <v>14063.6</v>
      </c>
      <c r="L61" s="73">
        <v>2702.1</v>
      </c>
      <c r="M61" s="66">
        <v>22520.3</v>
      </c>
      <c r="N61" s="73">
        <v>20063.5</v>
      </c>
      <c r="O61" s="60">
        <v>152808.7</v>
      </c>
      <c r="P61" s="60">
        <v>0</v>
      </c>
      <c r="Q61" s="60"/>
      <c r="U61" s="60">
        <f>(O61-O60)/(O$64-O$59)*(U$64-U$59)+U60</f>
        <v>143946.8</v>
      </c>
      <c r="W61" s="60">
        <f>ROUND((NationalDataInterm!W61/NationalDataInterm!B61)*B61,1)</f>
        <v>16143.7</v>
      </c>
      <c r="X61" s="60">
        <f>ROUND((NationalDataInterm!X61/NationalDataInterm!C61)*C61,1)</f>
        <v>1320.2</v>
      </c>
      <c r="Y61" s="60">
        <f>ROUND((NationalDataInterm!Y61/NationalDataInterm!D61)*D61,1)</f>
        <v>7452.2</v>
      </c>
      <c r="Z61" s="60">
        <f>ROUND((NationalDataInterm!Z61/NationalDataInterm!E61)*E61,1)</f>
        <v>8414.8</v>
      </c>
      <c r="AA61" s="60">
        <f>ROUND((NationalDataInterm!AA61/NationalDataInterm!F61)*F61,1)</f>
        <v>26454.5</v>
      </c>
      <c r="AB61" s="60">
        <f>ROUND((NationalDataInterm!AB61/NationalDataInterm!G61)*G61,1)</f>
        <v>7864</v>
      </c>
      <c r="AC61" s="60">
        <f>ROUND((NationalDataInterm!AC61/NationalDataInterm!H61)*H61,1)</f>
        <v>8103.3</v>
      </c>
      <c r="AD61" s="60">
        <f>ROUND((NationalDataInterm!AD61/NationalDataInterm!I61)*I61,1)</f>
        <v>55740.7</v>
      </c>
      <c r="AE61" s="60">
        <f>ROUND((NationalDataInterm!AE61/NationalDataInterm!J61)*J61,1)</f>
        <v>17215.9</v>
      </c>
      <c r="AF61" s="60">
        <f>ROUND((NationalDataInterm!AF61/NationalDataInterm!K61)*K61,1)</f>
        <v>13791.1</v>
      </c>
      <c r="AG61" s="60">
        <f>ROUND((NationalDataInterm!AG61/NationalDataInterm!L61)*L61,1)</f>
        <v>2649.7</v>
      </c>
      <c r="AH61" s="60">
        <f>ROUND((NationalDataInterm!AH61/NationalDataInterm!M61)*M61,1)</f>
        <v>22084</v>
      </c>
      <c r="AI61" s="60">
        <f>ROUND((NationalDataInterm!AI61/NationalDataInterm!N61)*N61,1)</f>
        <v>19674.8</v>
      </c>
      <c r="AK61" s="60">
        <f t="shared" si="16"/>
        <v>0</v>
      </c>
    </row>
    <row r="62" spans="1:37" ht="12.75">
      <c r="A62" s="62">
        <v>2018</v>
      </c>
      <c r="B62" s="73">
        <v>16427.3</v>
      </c>
      <c r="C62" s="73">
        <v>1342.8</v>
      </c>
      <c r="D62" s="73">
        <v>7634.1</v>
      </c>
      <c r="E62" s="73">
        <v>8626.9</v>
      </c>
      <c r="F62" s="73">
        <v>27151.4</v>
      </c>
      <c r="G62" s="73">
        <v>8065.7</v>
      </c>
      <c r="H62" s="73">
        <v>8294.3</v>
      </c>
      <c r="I62" s="73">
        <v>57638.1</v>
      </c>
      <c r="J62" s="73">
        <v>18059.9</v>
      </c>
      <c r="K62" s="73">
        <v>14286.2</v>
      </c>
      <c r="L62" s="73">
        <v>2707.7</v>
      </c>
      <c r="M62" s="66">
        <v>22584.3</v>
      </c>
      <c r="N62" s="73">
        <v>20171.5</v>
      </c>
      <c r="O62" s="60">
        <v>154009.3</v>
      </c>
      <c r="P62" s="60">
        <v>0</v>
      </c>
      <c r="Q62" s="60"/>
      <c r="U62" s="60">
        <f>(O62-O61)/(O$64-O$59)*(U$64-U$59)+U61</f>
        <v>143946.8</v>
      </c>
      <c r="W62" s="60">
        <f>ROUND((NationalDataInterm!W62/NationalDataInterm!B62)*B62,1)</f>
        <v>16045.5</v>
      </c>
      <c r="X62" s="60">
        <f>ROUND((NationalDataInterm!X62/NationalDataInterm!C62)*C62,1)</f>
        <v>1311.6</v>
      </c>
      <c r="Y62" s="60">
        <f>ROUND((NationalDataInterm!Y62/NationalDataInterm!D62)*D62,1)</f>
        <v>7456.7</v>
      </c>
      <c r="Z62" s="60">
        <f>ROUND((NationalDataInterm!Z62/NationalDataInterm!E62)*E62,1)</f>
        <v>8426.4</v>
      </c>
      <c r="AA62" s="60">
        <f>ROUND((NationalDataInterm!AA62/NationalDataInterm!F62)*F62,1)</f>
        <v>26520.3</v>
      </c>
      <c r="AB62" s="60">
        <f>ROUND((NationalDataInterm!AB62/NationalDataInterm!G62)*G62,1)</f>
        <v>7878.2</v>
      </c>
      <c r="AC62" s="60">
        <f>ROUND((NationalDataInterm!AC62/NationalDataInterm!H62)*H62,1)</f>
        <v>8101.5</v>
      </c>
      <c r="AD62" s="60">
        <f>ROUND((NationalDataInterm!AD62/NationalDataInterm!I62)*I62,1)</f>
        <v>56298.5</v>
      </c>
      <c r="AE62" s="60">
        <f>ROUND((NationalDataInterm!AE62/NationalDataInterm!J62)*J62,1)</f>
        <v>17640.2</v>
      </c>
      <c r="AF62" s="60">
        <f>ROUND((NationalDataInterm!AF62/NationalDataInterm!K62)*K62,1)</f>
        <v>13954.2</v>
      </c>
      <c r="AG62" s="60">
        <f>ROUND((NationalDataInterm!AG62/NationalDataInterm!L62)*L62,1)</f>
        <v>2644.8</v>
      </c>
      <c r="AH62" s="60">
        <f>ROUND((NationalDataInterm!AH62/NationalDataInterm!M62)*M62,1)</f>
        <v>22059.4</v>
      </c>
      <c r="AI62" s="60">
        <f>ROUND((NationalDataInterm!AI62/NationalDataInterm!N62)*N62,1)</f>
        <v>19702.7</v>
      </c>
      <c r="AK62" s="60">
        <f t="shared" si="16"/>
        <v>-0.10000000000582077</v>
      </c>
    </row>
    <row r="63" spans="1:37" ht="12.75">
      <c r="A63" s="62">
        <v>2019</v>
      </c>
      <c r="B63" s="73">
        <v>16390.6</v>
      </c>
      <c r="C63" s="73">
        <v>1339.4</v>
      </c>
      <c r="D63" s="73">
        <v>7668.2</v>
      </c>
      <c r="E63" s="73">
        <v>8670.5</v>
      </c>
      <c r="F63" s="73">
        <v>27322.4</v>
      </c>
      <c r="G63" s="73">
        <v>8109.9</v>
      </c>
      <c r="H63" s="73">
        <v>8324.5</v>
      </c>
      <c r="I63" s="73">
        <v>58439</v>
      </c>
      <c r="J63" s="73">
        <v>18572.5</v>
      </c>
      <c r="K63" s="73">
        <v>14510.8</v>
      </c>
      <c r="L63" s="73">
        <v>2713</v>
      </c>
      <c r="M63" s="66">
        <v>22642.7</v>
      </c>
      <c r="N63" s="73">
        <v>20278.1</v>
      </c>
      <c r="O63" s="60">
        <v>155203.2</v>
      </c>
      <c r="P63" s="60">
        <v>0</v>
      </c>
      <c r="Q63" s="60"/>
      <c r="U63" s="60">
        <f>(O63-O62)/(O$64-O$59)*(U$64-U$59)+U62</f>
        <v>143946.8</v>
      </c>
      <c r="W63" s="60">
        <f>ROUND((NationalDataInterm!W63/NationalDataInterm!B63)*B63,1)</f>
        <v>15947</v>
      </c>
      <c r="X63" s="60">
        <f>ROUND((NationalDataInterm!X63/NationalDataInterm!C63)*C63,1)</f>
        <v>1303.2</v>
      </c>
      <c r="Y63" s="60">
        <f>ROUND((NationalDataInterm!Y63/NationalDataInterm!D63)*D63,1)</f>
        <v>7460.7</v>
      </c>
      <c r="Z63" s="60">
        <f>ROUND((NationalDataInterm!Z63/NationalDataInterm!E63)*E63,1)</f>
        <v>8435.9</v>
      </c>
      <c r="AA63" s="60">
        <f>ROUND((NationalDataInterm!AA63/NationalDataInterm!F63)*F63,1)</f>
        <v>26583</v>
      </c>
      <c r="AB63" s="60">
        <f>ROUND((NationalDataInterm!AB63/NationalDataInterm!G63)*G63,1)</f>
        <v>7890.4</v>
      </c>
      <c r="AC63" s="60">
        <f>ROUND((NationalDataInterm!AC63/NationalDataInterm!H63)*H63,1)</f>
        <v>8099.2</v>
      </c>
      <c r="AD63" s="60">
        <f>ROUND((NationalDataInterm!AD63/NationalDataInterm!I63)*I63,1)</f>
        <v>56857.5</v>
      </c>
      <c r="AE63" s="60">
        <f>ROUND((NationalDataInterm!AE63/NationalDataInterm!J63)*J63,1)</f>
        <v>18069.9</v>
      </c>
      <c r="AF63" s="60">
        <f>ROUND((NationalDataInterm!AF63/NationalDataInterm!K63)*K63,1)</f>
        <v>14118.1</v>
      </c>
      <c r="AG63" s="60">
        <f>ROUND((NationalDataInterm!AG63/NationalDataInterm!L63)*L63,1)</f>
        <v>2639.6</v>
      </c>
      <c r="AH63" s="60">
        <f>ROUND((NationalDataInterm!AH63/NationalDataInterm!M63)*M63,1)</f>
        <v>22029.9</v>
      </c>
      <c r="AI63" s="60">
        <f>ROUND((NationalDataInterm!AI63/NationalDataInterm!N63)*N63,1)</f>
        <v>19729.3</v>
      </c>
      <c r="AK63" s="60">
        <f t="shared" si="16"/>
        <v>0</v>
      </c>
    </row>
    <row r="64" spans="1:37" ht="12.75">
      <c r="A64" s="62">
        <v>2020</v>
      </c>
      <c r="B64" s="73">
        <v>16352.5</v>
      </c>
      <c r="C64" s="73">
        <v>1335.8</v>
      </c>
      <c r="D64" s="73">
        <v>7701.6</v>
      </c>
      <c r="E64" s="73">
        <v>8712.1</v>
      </c>
      <c r="F64" s="73">
        <v>27490.1</v>
      </c>
      <c r="G64" s="73">
        <v>8151.9</v>
      </c>
      <c r="H64" s="73">
        <v>8353.9</v>
      </c>
      <c r="I64" s="73">
        <v>59244.6</v>
      </c>
      <c r="J64" s="73">
        <v>19093.7</v>
      </c>
      <c r="K64" s="73">
        <v>14737.2</v>
      </c>
      <c r="L64" s="73">
        <v>2718.2</v>
      </c>
      <c r="M64" s="66">
        <v>22695.5</v>
      </c>
      <c r="N64" s="73">
        <v>20383.1</v>
      </c>
      <c r="O64" s="60">
        <v>156389.8</v>
      </c>
      <c r="P64" s="60">
        <v>0</v>
      </c>
      <c r="Q64" s="60"/>
      <c r="U64" s="123">
        <f>U59*(1+S96)</f>
        <v>143946.8</v>
      </c>
      <c r="W64" s="60">
        <f>ROUND((NationalDataInterm!W64/NationalDataInterm!B64)*B64,1)</f>
        <v>15848.2</v>
      </c>
      <c r="X64" s="60">
        <f>ROUND((NationalDataInterm!X64/NationalDataInterm!C64)*C64,1)</f>
        <v>1294.6</v>
      </c>
      <c r="Y64" s="60">
        <f>ROUND((NationalDataInterm!Y64/NationalDataInterm!D64)*D64,1)</f>
        <v>7464.1</v>
      </c>
      <c r="Z64" s="60">
        <f>ROUND((NationalDataInterm!Z64/NationalDataInterm!E64)*E64,1)</f>
        <v>8443.4</v>
      </c>
      <c r="AA64" s="60">
        <f>ROUND((NationalDataInterm!AA64/NationalDataInterm!F64)*F64,1)</f>
        <v>26642.4</v>
      </c>
      <c r="AB64" s="60">
        <f>ROUND((NationalDataInterm!AB64/NationalDataInterm!G64)*G64,1)</f>
        <v>7900.5</v>
      </c>
      <c r="AC64" s="60">
        <f>ROUND((NationalDataInterm!AC64/NationalDataInterm!H64)*H64,1)</f>
        <v>8096.3</v>
      </c>
      <c r="AD64" s="60">
        <f>ROUND((NationalDataInterm!AD64/NationalDataInterm!I64)*I64,1)</f>
        <v>57417.7</v>
      </c>
      <c r="AE64" s="60">
        <f>ROUND((NationalDataInterm!AE64/NationalDataInterm!J64)*J64,1)</f>
        <v>18504.9</v>
      </c>
      <c r="AF64" s="60">
        <f>ROUND((NationalDataInterm!AF64/NationalDataInterm!K64)*K64,1)</f>
        <v>14282.7</v>
      </c>
      <c r="AG64" s="60">
        <f>ROUND((NationalDataInterm!AG64/NationalDataInterm!L64)*L64,1)</f>
        <v>2634.4</v>
      </c>
      <c r="AH64" s="60">
        <f>ROUND((NationalDataInterm!AH64/NationalDataInterm!M64)*M64,1)</f>
        <v>21995.6</v>
      </c>
      <c r="AI64" s="60">
        <f>ROUND((NationalDataInterm!AI64/NationalDataInterm!N64)*N64,1)</f>
        <v>19754.5</v>
      </c>
      <c r="AK64" s="60">
        <f t="shared" si="16"/>
        <v>0.09999999999126885</v>
      </c>
    </row>
    <row r="65" spans="1:37" ht="12.75">
      <c r="A65" s="62">
        <v>2021</v>
      </c>
      <c r="B65" s="73">
        <v>16312.9</v>
      </c>
      <c r="C65" s="73">
        <v>1332</v>
      </c>
      <c r="D65" s="73">
        <v>7727.7</v>
      </c>
      <c r="E65" s="73">
        <v>8751.5</v>
      </c>
      <c r="F65" s="73">
        <v>27654</v>
      </c>
      <c r="G65" s="73">
        <v>8192</v>
      </c>
      <c r="H65" s="73">
        <v>8379.1</v>
      </c>
      <c r="I65" s="73">
        <v>60053.7</v>
      </c>
      <c r="J65" s="73">
        <v>19623.3</v>
      </c>
      <c r="K65" s="73">
        <v>14965.3</v>
      </c>
      <c r="L65" s="73">
        <v>2722.7</v>
      </c>
      <c r="M65" s="66">
        <v>22742.4</v>
      </c>
      <c r="N65" s="73">
        <v>20483.5</v>
      </c>
      <c r="O65" s="60">
        <v>157554.4</v>
      </c>
      <c r="P65" s="60">
        <v>0</v>
      </c>
      <c r="Q65" s="60"/>
      <c r="U65" s="60">
        <f>(O65-O64)/(O$69-O$64)*(U$69-U$64)+U64</f>
        <v>143946.8</v>
      </c>
      <c r="W65" s="60">
        <f>ROUND((NationalDataInterm!W65/NationalDataInterm!B65)*B65,1)</f>
        <v>15737.2</v>
      </c>
      <c r="X65" s="60">
        <f>ROUND((NationalDataInterm!X65/NationalDataInterm!C65)*C65,1)</f>
        <v>1285</v>
      </c>
      <c r="Y65" s="60">
        <f>ROUND((NationalDataInterm!Y65/NationalDataInterm!D65)*D65,1)</f>
        <v>7455</v>
      </c>
      <c r="Z65" s="60">
        <f>ROUND((NationalDataInterm!Z65/NationalDataInterm!E65)*E65,1)</f>
        <v>8442.6</v>
      </c>
      <c r="AA65" s="60">
        <f>ROUND((NationalDataInterm!AA65/NationalDataInterm!F65)*F65,1)</f>
        <v>26678</v>
      </c>
      <c r="AB65" s="60">
        <f>ROUND((NationalDataInterm!AB65/NationalDataInterm!G65)*G65,1)</f>
        <v>7902.9</v>
      </c>
      <c r="AC65" s="60">
        <f>ROUND((NationalDataInterm!AC65/NationalDataInterm!H65)*H65,1)</f>
        <v>8083.4</v>
      </c>
      <c r="AD65" s="60">
        <f>ROUND((NationalDataInterm!AD65/NationalDataInterm!I65)*I65,1)</f>
        <v>57934.2</v>
      </c>
      <c r="AE65" s="60">
        <f>ROUND((NationalDataInterm!AE65/NationalDataInterm!J65)*J65,1)</f>
        <v>18930.7</v>
      </c>
      <c r="AF65" s="60">
        <f>ROUND((NationalDataInterm!AF65/NationalDataInterm!K65)*K65,1)</f>
        <v>14437.1</v>
      </c>
      <c r="AG65" s="60">
        <f>ROUND((NationalDataInterm!AG65/NationalDataInterm!L65)*L65,1)</f>
        <v>2626.6</v>
      </c>
      <c r="AH65" s="60">
        <f>ROUND((NationalDataInterm!AH65/NationalDataInterm!M65)*M65,1)</f>
        <v>21939.7</v>
      </c>
      <c r="AI65" s="60">
        <f>ROUND((NationalDataInterm!AI65/NationalDataInterm!N65)*N65,1)</f>
        <v>19760.6</v>
      </c>
      <c r="AK65" s="60">
        <f t="shared" si="16"/>
        <v>0.09999999999126885</v>
      </c>
    </row>
    <row r="66" spans="1:37" ht="12.75">
      <c r="A66" s="62">
        <v>2022</v>
      </c>
      <c r="B66" s="73">
        <v>16271.2</v>
      </c>
      <c r="C66" s="73">
        <v>1328.2</v>
      </c>
      <c r="D66" s="73">
        <v>7752.7</v>
      </c>
      <c r="E66" s="73">
        <v>8788.4</v>
      </c>
      <c r="F66" s="73">
        <v>27813.2</v>
      </c>
      <c r="G66" s="73">
        <v>8229.9</v>
      </c>
      <c r="H66" s="73">
        <v>8403.3</v>
      </c>
      <c r="I66" s="73">
        <v>60864.6</v>
      </c>
      <c r="J66" s="73">
        <v>20160.7</v>
      </c>
      <c r="K66" s="73">
        <v>15194.7</v>
      </c>
      <c r="L66" s="73">
        <v>2726.9</v>
      </c>
      <c r="M66" s="66">
        <v>22782.3</v>
      </c>
      <c r="N66" s="73">
        <v>20581.3</v>
      </c>
      <c r="O66" s="60">
        <v>158704.6</v>
      </c>
      <c r="P66" s="60">
        <v>0</v>
      </c>
      <c r="Q66" s="60"/>
      <c r="U66" s="60">
        <f>(O66-O65)/(O$69-O$64)*(U$69-U$64)+U65</f>
        <v>143946.8</v>
      </c>
      <c r="W66" s="60">
        <f>ROUND((NationalDataInterm!W66/NationalDataInterm!B66)*B66,1)</f>
        <v>15625.3</v>
      </c>
      <c r="X66" s="60">
        <f>ROUND((NationalDataInterm!X66/NationalDataInterm!C66)*C66,1)</f>
        <v>1275.5</v>
      </c>
      <c r="Y66" s="60">
        <f>ROUND((NationalDataInterm!Y66/NationalDataInterm!D66)*D66,1)</f>
        <v>7444.9</v>
      </c>
      <c r="Z66" s="60">
        <f>ROUND((NationalDataInterm!Z66/NationalDataInterm!E66)*E66,1)</f>
        <v>8439.5</v>
      </c>
      <c r="AA66" s="60">
        <f>ROUND((NationalDataInterm!AA66/NationalDataInterm!F66)*F66,1)</f>
        <v>26709.1</v>
      </c>
      <c r="AB66" s="60">
        <f>ROUND((NationalDataInterm!AB66/NationalDataInterm!G66)*G66,1)</f>
        <v>7903.2</v>
      </c>
      <c r="AC66" s="60">
        <f>ROUND((NationalDataInterm!AC66/NationalDataInterm!H66)*H66,1)</f>
        <v>8069.7</v>
      </c>
      <c r="AD66" s="60">
        <f>ROUND((NationalDataInterm!AD66/NationalDataInterm!I66)*I66,1)</f>
        <v>58448.4</v>
      </c>
      <c r="AE66" s="60">
        <f>ROUND((NationalDataInterm!AE66/NationalDataInterm!J66)*J66,1)</f>
        <v>19360.4</v>
      </c>
      <c r="AF66" s="60">
        <f>ROUND((NationalDataInterm!AF66/NationalDataInterm!K66)*K66,1)</f>
        <v>14591.5</v>
      </c>
      <c r="AG66" s="60">
        <f>ROUND((NationalDataInterm!AG66/NationalDataInterm!L66)*L66,1)</f>
        <v>2618.6</v>
      </c>
      <c r="AH66" s="60">
        <f>ROUND((NationalDataInterm!AH66/NationalDataInterm!M66)*M66,1)</f>
        <v>21877.9</v>
      </c>
      <c r="AI66" s="60">
        <f>ROUND((NationalDataInterm!AI66/NationalDataInterm!N66)*N66,1)</f>
        <v>19764.3</v>
      </c>
      <c r="AK66" s="60">
        <f t="shared" si="16"/>
        <v>0</v>
      </c>
    </row>
    <row r="67" spans="1:37" ht="12.75">
      <c r="A67" s="62">
        <v>2023</v>
      </c>
      <c r="B67" s="73">
        <v>16227.6</v>
      </c>
      <c r="C67" s="73">
        <v>1324.1</v>
      </c>
      <c r="D67" s="73">
        <v>7776.6</v>
      </c>
      <c r="E67" s="73">
        <v>8822.7</v>
      </c>
      <c r="F67" s="73">
        <v>27967.6</v>
      </c>
      <c r="G67" s="73">
        <v>8265.6</v>
      </c>
      <c r="H67" s="73">
        <v>8426.2</v>
      </c>
      <c r="I67" s="73">
        <v>61676.9</v>
      </c>
      <c r="J67" s="73">
        <v>20705.8</v>
      </c>
      <c r="K67" s="73">
        <v>15425.1</v>
      </c>
      <c r="L67" s="73">
        <v>2730.8</v>
      </c>
      <c r="M67" s="66">
        <v>22815.2</v>
      </c>
      <c r="N67" s="73">
        <v>20676.5</v>
      </c>
      <c r="O67" s="60">
        <v>159839.7</v>
      </c>
      <c r="P67" s="60">
        <v>0</v>
      </c>
      <c r="Q67" s="60"/>
      <c r="U67" s="60">
        <f>(O67-O66)/(O$69-O$64)*(U$69-U$64)+U66</f>
        <v>143946.8</v>
      </c>
      <c r="W67" s="60">
        <f>ROUND((NationalDataInterm!W67/NationalDataInterm!B67)*B67,1)</f>
        <v>15512.7</v>
      </c>
      <c r="X67" s="60">
        <f>ROUND((NationalDataInterm!X67/NationalDataInterm!C67)*C67,1)</f>
        <v>1265.8</v>
      </c>
      <c r="Y67" s="60">
        <f>ROUND((NationalDataInterm!Y67/NationalDataInterm!D67)*D67,1)</f>
        <v>7434</v>
      </c>
      <c r="Z67" s="60">
        <f>ROUND((NationalDataInterm!Z67/NationalDataInterm!E67)*E67,1)</f>
        <v>8434</v>
      </c>
      <c r="AA67" s="60">
        <f>ROUND((NationalDataInterm!AA67/NationalDataInterm!F67)*F67,1)</f>
        <v>26735.6</v>
      </c>
      <c r="AB67" s="60">
        <f>ROUND((NationalDataInterm!AB67/NationalDataInterm!G67)*G67,1)</f>
        <v>7901.5</v>
      </c>
      <c r="AC67" s="60">
        <f>ROUND((NationalDataInterm!AC67/NationalDataInterm!H67)*H67,1)</f>
        <v>8055</v>
      </c>
      <c r="AD67" s="60">
        <f>ROUND((NationalDataInterm!AD67/NationalDataInterm!I67)*I67,1)</f>
        <v>58959.9</v>
      </c>
      <c r="AE67" s="60">
        <f>ROUND((NationalDataInterm!AE67/NationalDataInterm!J67)*J67,1)</f>
        <v>19793.7</v>
      </c>
      <c r="AF67" s="60">
        <f>ROUND((NationalDataInterm!AF67/NationalDataInterm!K67)*K67,1)</f>
        <v>14745.6</v>
      </c>
      <c r="AG67" s="60">
        <f>ROUND((NationalDataInterm!AG67/NationalDataInterm!L67)*L67,1)</f>
        <v>2610.5</v>
      </c>
      <c r="AH67" s="60">
        <f>ROUND((NationalDataInterm!AH67/NationalDataInterm!M67)*M67,1)</f>
        <v>21810.1</v>
      </c>
      <c r="AI67" s="60">
        <f>ROUND((NationalDataInterm!AI67/NationalDataInterm!N67)*N67,1)</f>
        <v>19765.7</v>
      </c>
      <c r="AK67" s="60">
        <f t="shared" si="16"/>
        <v>0</v>
      </c>
    </row>
    <row r="68" spans="1:37" ht="12.75">
      <c r="A68" s="62">
        <v>2024</v>
      </c>
      <c r="B68" s="73">
        <v>16181.8</v>
      </c>
      <c r="C68" s="73">
        <v>1319.9</v>
      </c>
      <c r="D68" s="73">
        <v>7799.3</v>
      </c>
      <c r="E68" s="73">
        <v>8854.3</v>
      </c>
      <c r="F68" s="73">
        <v>28116.9</v>
      </c>
      <c r="G68" s="73">
        <v>8299</v>
      </c>
      <c r="H68" s="73">
        <v>8447.8</v>
      </c>
      <c r="I68" s="73">
        <v>62489.8</v>
      </c>
      <c r="J68" s="73">
        <v>21258.4</v>
      </c>
      <c r="K68" s="73">
        <v>15656.5</v>
      </c>
      <c r="L68" s="73">
        <v>2734.3</v>
      </c>
      <c r="M68" s="66">
        <v>22840.6</v>
      </c>
      <c r="N68" s="73">
        <v>20768.8</v>
      </c>
      <c r="O68" s="60">
        <v>160957.7</v>
      </c>
      <c r="P68" s="60">
        <v>0</v>
      </c>
      <c r="Q68" s="60"/>
      <c r="U68" s="60">
        <f>(O68-O67)/(O$69-O$64)*(U$69-U$64)+U67</f>
        <v>143946.8</v>
      </c>
      <c r="W68" s="60">
        <f>ROUND((NationalDataInterm!W68/NationalDataInterm!B68)*B68,1)</f>
        <v>15399.3</v>
      </c>
      <c r="X68" s="60">
        <f>ROUND((NationalDataInterm!X68/NationalDataInterm!C68)*C68,1)</f>
        <v>1256.1</v>
      </c>
      <c r="Y68" s="60">
        <f>ROUND((NationalDataInterm!Y68/NationalDataInterm!D68)*D68,1)</f>
        <v>7422.2</v>
      </c>
      <c r="Z68" s="60">
        <f>ROUND((NationalDataInterm!Z68/NationalDataInterm!E68)*E68,1)</f>
        <v>8426.2</v>
      </c>
      <c r="AA68" s="60">
        <f>ROUND((NationalDataInterm!AA68/NationalDataInterm!F68)*F68,1)</f>
        <v>26757.3</v>
      </c>
      <c r="AB68" s="60">
        <f>ROUND((NationalDataInterm!AB68/NationalDataInterm!G68)*G68,1)</f>
        <v>7897.7</v>
      </c>
      <c r="AC68" s="60">
        <f>ROUND((NationalDataInterm!AC68/NationalDataInterm!H68)*H68,1)</f>
        <v>8039.3</v>
      </c>
      <c r="AD68" s="60">
        <f>ROUND((NationalDataInterm!AD68/NationalDataInterm!I68)*I68,1)</f>
        <v>59468.1</v>
      </c>
      <c r="AE68" s="60">
        <f>ROUND((NationalDataInterm!AE68/NationalDataInterm!J68)*J68,1)</f>
        <v>20230.5</v>
      </c>
      <c r="AF68" s="60">
        <f>ROUND((NationalDataInterm!AF68/NationalDataInterm!K68)*K68,1)</f>
        <v>14899.4</v>
      </c>
      <c r="AG68" s="60">
        <f>ROUND((NationalDataInterm!AG68/NationalDataInterm!L68)*L68,1)</f>
        <v>2602.1</v>
      </c>
      <c r="AH68" s="60">
        <f>ROUND((NationalDataInterm!AH68/NationalDataInterm!M68)*M68,1)</f>
        <v>21736.1</v>
      </c>
      <c r="AI68" s="60">
        <f>ROUND((NationalDataInterm!AI68/NationalDataInterm!N68)*N68,1)</f>
        <v>19764.5</v>
      </c>
      <c r="AK68" s="60">
        <f t="shared" si="16"/>
        <v>0</v>
      </c>
    </row>
    <row r="69" spans="1:37" ht="12.75">
      <c r="A69" s="62">
        <v>2025</v>
      </c>
      <c r="B69" s="73">
        <v>16133.7</v>
      </c>
      <c r="C69" s="73">
        <v>1315.5</v>
      </c>
      <c r="D69" s="73">
        <v>7820.9</v>
      </c>
      <c r="E69" s="73">
        <v>8883.1</v>
      </c>
      <c r="F69" s="73">
        <v>28260.7</v>
      </c>
      <c r="G69" s="73">
        <v>8330.1</v>
      </c>
      <c r="H69" s="73">
        <v>8468.2</v>
      </c>
      <c r="I69" s="73">
        <v>63302.8</v>
      </c>
      <c r="J69" s="73">
        <v>21818.4</v>
      </c>
      <c r="K69" s="73">
        <v>15888.7</v>
      </c>
      <c r="L69" s="73">
        <v>2737.5</v>
      </c>
      <c r="M69" s="66">
        <v>22858.2</v>
      </c>
      <c r="N69" s="73">
        <v>20858.2</v>
      </c>
      <c r="O69" s="60">
        <v>162057.7</v>
      </c>
      <c r="P69" s="60">
        <v>0</v>
      </c>
      <c r="Q69" s="60"/>
      <c r="U69" s="73">
        <f>U64*(1+S97)</f>
        <v>143946.8</v>
      </c>
      <c r="W69" s="60">
        <f>ROUND((NationalDataInterm!W69/NationalDataInterm!B69)*B69,1)</f>
        <v>15284.9</v>
      </c>
      <c r="X69" s="60">
        <f>ROUND((NationalDataInterm!X69/NationalDataInterm!C69)*C69,1)</f>
        <v>1246.3</v>
      </c>
      <c r="Y69" s="60">
        <f>ROUND((NationalDataInterm!Y69/NationalDataInterm!D69)*D69,1)</f>
        <v>7409.5</v>
      </c>
      <c r="Z69" s="60">
        <f>ROUND((NationalDataInterm!Z69/NationalDataInterm!E69)*E69,1)</f>
        <v>8415.8</v>
      </c>
      <c r="AA69" s="60">
        <f>ROUND((NationalDataInterm!AA69/NationalDataInterm!F69)*F69,1)</f>
        <v>26774</v>
      </c>
      <c r="AB69" s="60">
        <f>ROUND((NationalDataInterm!AB69/NationalDataInterm!G69)*G69,1)</f>
        <v>7891.9</v>
      </c>
      <c r="AC69" s="60">
        <f>ROUND((NationalDataInterm!AC69/NationalDataInterm!H69)*H69,1)</f>
        <v>8022.7</v>
      </c>
      <c r="AD69" s="60">
        <f>ROUND((NationalDataInterm!AD69/NationalDataInterm!I69)*I69,1)</f>
        <v>59972.6</v>
      </c>
      <c r="AE69" s="60">
        <f>ROUND((NationalDataInterm!AE69/NationalDataInterm!J69)*J69,1)</f>
        <v>20670.6</v>
      </c>
      <c r="AF69" s="60">
        <f>ROUND((NationalDataInterm!AF69/NationalDataInterm!K69)*K69,1)</f>
        <v>15052.8</v>
      </c>
      <c r="AG69" s="60">
        <f>ROUND((NationalDataInterm!AG69/NationalDataInterm!L69)*L69,1)</f>
        <v>2593.5</v>
      </c>
      <c r="AH69" s="60">
        <f>ROUND((NationalDataInterm!AH69/NationalDataInterm!M69)*M69,1)</f>
        <v>21655.7</v>
      </c>
      <c r="AI69" s="60">
        <f>ROUND((NationalDataInterm!AI69/NationalDataInterm!N69)*N69,1)</f>
        <v>19760.9</v>
      </c>
      <c r="AK69" s="60">
        <f t="shared" si="16"/>
        <v>0</v>
      </c>
    </row>
    <row r="70" spans="1:37" ht="12.75">
      <c r="A70" s="72">
        <v>2026</v>
      </c>
      <c r="B70" s="73">
        <v>16084.4</v>
      </c>
      <c r="C70" s="73">
        <v>1311.1</v>
      </c>
      <c r="D70" s="73">
        <v>7834.7</v>
      </c>
      <c r="E70" s="73">
        <v>8906.6</v>
      </c>
      <c r="F70" s="73">
        <v>28396.7</v>
      </c>
      <c r="G70" s="73">
        <v>8357.2</v>
      </c>
      <c r="H70" s="73">
        <v>8484.1</v>
      </c>
      <c r="I70" s="73">
        <v>64116.6</v>
      </c>
      <c r="J70" s="73">
        <v>22385.8</v>
      </c>
      <c r="K70" s="73">
        <v>16121.9</v>
      </c>
      <c r="L70" s="73">
        <v>2739.9</v>
      </c>
      <c r="M70" s="66">
        <v>22869</v>
      </c>
      <c r="N70" s="73">
        <v>20942.3</v>
      </c>
      <c r="O70" s="60">
        <v>163122.6</v>
      </c>
      <c r="P70" s="60">
        <v>0</v>
      </c>
      <c r="Q70" s="60"/>
      <c r="U70" s="60">
        <f>(O70-O69)/(O$74-O$69)*(U$74-U$69)+U69</f>
        <v>143946.8</v>
      </c>
      <c r="W70" s="60">
        <f>ROUND((NationalDataInterm!W70/NationalDataInterm!B70)*B70,1)</f>
        <v>15112.9</v>
      </c>
      <c r="X70" s="60">
        <f>ROUND((NationalDataInterm!X70/NationalDataInterm!C70)*C70,1)</f>
        <v>1231.9</v>
      </c>
      <c r="Y70" s="60">
        <f>ROUND((NationalDataInterm!Y70/NationalDataInterm!D70)*D70,1)</f>
        <v>7361.5</v>
      </c>
      <c r="Z70" s="60">
        <f>ROUND((NationalDataInterm!Z70/NationalDataInterm!E70)*E70,1)</f>
        <v>8368.6</v>
      </c>
      <c r="AA70" s="60">
        <f>ROUND((NationalDataInterm!AA70/NationalDataInterm!F70)*F70,1)</f>
        <v>26681.5</v>
      </c>
      <c r="AB70" s="60">
        <f>ROUND((NationalDataInterm!AB70/NationalDataInterm!G70)*G70,1)</f>
        <v>7852.4</v>
      </c>
      <c r="AC70" s="60">
        <f>ROUND((NationalDataInterm!AC70/NationalDataInterm!H70)*H70,1)</f>
        <v>7971.7</v>
      </c>
      <c r="AD70" s="60">
        <f>ROUND((NationalDataInterm!AD70/NationalDataInterm!I70)*I70,1)</f>
        <v>60243.9</v>
      </c>
      <c r="AE70" s="60">
        <f>ROUND((NationalDataInterm!AE70/NationalDataInterm!J70)*J70,1)</f>
        <v>21033.7</v>
      </c>
      <c r="AF70" s="60">
        <f>ROUND((NationalDataInterm!AF70/NationalDataInterm!K70)*K70,1)</f>
        <v>15148.1</v>
      </c>
      <c r="AG70" s="60">
        <f>ROUND((NationalDataInterm!AG70/NationalDataInterm!L70)*L70,1)</f>
        <v>2574.4</v>
      </c>
      <c r="AH70" s="60">
        <f>ROUND((NationalDataInterm!AH70/NationalDataInterm!M70)*M70,1)</f>
        <v>21487.7</v>
      </c>
      <c r="AI70" s="60">
        <f>ROUND((NationalDataInterm!AI70/NationalDataInterm!N70)*N70,1)</f>
        <v>19677.4</v>
      </c>
      <c r="AK70" s="60">
        <f t="shared" si="16"/>
        <v>0</v>
      </c>
    </row>
    <row r="71" spans="1:37" ht="12.75">
      <c r="A71" s="72">
        <v>2027</v>
      </c>
      <c r="B71" s="73">
        <v>16033.5</v>
      </c>
      <c r="C71" s="73">
        <v>1306.4</v>
      </c>
      <c r="D71" s="73">
        <v>7847.6</v>
      </c>
      <c r="E71" s="73">
        <v>8929.1</v>
      </c>
      <c r="F71" s="73">
        <v>28530.1</v>
      </c>
      <c r="G71" s="73">
        <v>8383.3</v>
      </c>
      <c r="H71" s="73">
        <v>8499.1</v>
      </c>
      <c r="I71" s="73">
        <v>64933.4</v>
      </c>
      <c r="J71" s="73">
        <v>22961.7</v>
      </c>
      <c r="K71" s="73">
        <v>16356.6</v>
      </c>
      <c r="L71" s="73">
        <v>2742.1</v>
      </c>
      <c r="M71" s="66">
        <v>22873</v>
      </c>
      <c r="N71" s="73">
        <v>21024.3</v>
      </c>
      <c r="O71" s="60">
        <v>164180.4</v>
      </c>
      <c r="P71" s="60">
        <v>0</v>
      </c>
      <c r="Q71" s="60"/>
      <c r="U71" s="60">
        <f>(O71-O70)/(O$74-O$69)*(U$74-U$69)+U70</f>
        <v>143946.8</v>
      </c>
      <c r="W71" s="60">
        <f>ROUND((NationalDataInterm!W71/NationalDataInterm!B71)*B71,1)</f>
        <v>14941.3</v>
      </c>
      <c r="X71" s="60">
        <f>ROUND((NationalDataInterm!X71/NationalDataInterm!C71)*C71,1)</f>
        <v>1217.4</v>
      </c>
      <c r="Y71" s="60">
        <f>ROUND((NationalDataInterm!Y71/NationalDataInterm!D71)*D71,1)</f>
        <v>7313</v>
      </c>
      <c r="Z71" s="60">
        <f>ROUND((NationalDataInterm!Z71/NationalDataInterm!E71)*E71,1)</f>
        <v>8320.8</v>
      </c>
      <c r="AA71" s="60">
        <f>ROUND((NationalDataInterm!AA71/NationalDataInterm!F71)*F71,1)</f>
        <v>26586.6</v>
      </c>
      <c r="AB71" s="60">
        <f>ROUND((NationalDataInterm!AB71/NationalDataInterm!G71)*G71,1)</f>
        <v>7812.2</v>
      </c>
      <c r="AC71" s="60">
        <f>ROUND((NationalDataInterm!AC71/NationalDataInterm!H71)*H71,1)</f>
        <v>7920.1</v>
      </c>
      <c r="AD71" s="60">
        <f>ROUND((NationalDataInterm!AD71/NationalDataInterm!I71)*I71,1)</f>
        <v>60510</v>
      </c>
      <c r="AE71" s="60">
        <f>ROUND((NationalDataInterm!AE71/NationalDataInterm!J71)*J71,1)</f>
        <v>21397.5</v>
      </c>
      <c r="AF71" s="60">
        <f>ROUND((NationalDataInterm!AF71/NationalDataInterm!K71)*K71,1)</f>
        <v>15242.4</v>
      </c>
      <c r="AG71" s="60">
        <f>ROUND((NationalDataInterm!AG71/NationalDataInterm!L71)*L71,1)</f>
        <v>2555.3</v>
      </c>
      <c r="AH71" s="60">
        <f>ROUND((NationalDataInterm!AH71/NationalDataInterm!M71)*M71,1)</f>
        <v>21314.9</v>
      </c>
      <c r="AI71" s="60">
        <f>ROUND((NationalDataInterm!AI71/NationalDataInterm!N71)*N71,1)</f>
        <v>19592.1</v>
      </c>
      <c r="AK71" s="60">
        <f t="shared" si="16"/>
        <v>-0.10000000000582077</v>
      </c>
    </row>
    <row r="72" spans="1:37" ht="12.75">
      <c r="A72" s="72">
        <v>2028</v>
      </c>
      <c r="B72" s="73">
        <v>15980.9</v>
      </c>
      <c r="C72" s="73">
        <v>1301.7</v>
      </c>
      <c r="D72" s="73">
        <v>7859.7</v>
      </c>
      <c r="E72" s="73">
        <v>8950.7</v>
      </c>
      <c r="F72" s="73">
        <v>28660.8</v>
      </c>
      <c r="G72" s="73">
        <v>8408.5</v>
      </c>
      <c r="H72" s="73">
        <v>8513.2</v>
      </c>
      <c r="I72" s="73">
        <v>65752.9</v>
      </c>
      <c r="J72" s="73">
        <v>23545.8</v>
      </c>
      <c r="K72" s="73">
        <v>16592.8</v>
      </c>
      <c r="L72" s="73">
        <v>2744</v>
      </c>
      <c r="M72" s="66">
        <v>22870.3</v>
      </c>
      <c r="N72" s="73">
        <v>21104.2</v>
      </c>
      <c r="O72" s="60">
        <v>165230.9</v>
      </c>
      <c r="P72" s="60">
        <v>0</v>
      </c>
      <c r="Q72" s="60"/>
      <c r="U72" s="60">
        <f>(O72-O71)/(O$74-O$69)*(U$74-U$69)+U71</f>
        <v>143946.8</v>
      </c>
      <c r="W72" s="60">
        <f>ROUND((NationalDataInterm!W72/NationalDataInterm!B72)*B72,1)</f>
        <v>14770</v>
      </c>
      <c r="X72" s="60">
        <f>ROUND((NationalDataInterm!X72/NationalDataInterm!C72)*C72,1)</f>
        <v>1203.1</v>
      </c>
      <c r="Y72" s="60">
        <f>ROUND((NationalDataInterm!Y72/NationalDataInterm!D72)*D72,1)</f>
        <v>7264.2</v>
      </c>
      <c r="Z72" s="60">
        <f>ROUND((NationalDataInterm!Z72/NationalDataInterm!E72)*E72,1)</f>
        <v>8272.5</v>
      </c>
      <c r="AA72" s="60">
        <f>ROUND((NationalDataInterm!AA72/NationalDataInterm!F72)*F72,1)</f>
        <v>26489.2</v>
      </c>
      <c r="AB72" s="60">
        <f>ROUND((NationalDataInterm!AB72/NationalDataInterm!G72)*G72,1)</f>
        <v>7771.4</v>
      </c>
      <c r="AC72" s="60">
        <f>ROUND((NationalDataInterm!AC72/NationalDataInterm!H72)*H72,1)</f>
        <v>7868.2</v>
      </c>
      <c r="AD72" s="60">
        <f>ROUND((NationalDataInterm!AD72/NationalDataInterm!I72)*I72,1)</f>
        <v>60770.8</v>
      </c>
      <c r="AE72" s="60">
        <f>ROUND((NationalDataInterm!AE72/NationalDataInterm!J72)*J72,1)</f>
        <v>21761.7</v>
      </c>
      <c r="AF72" s="60">
        <f>ROUND((NationalDataInterm!AF72/NationalDataInterm!K72)*K72,1)</f>
        <v>15335.6</v>
      </c>
      <c r="AG72" s="60">
        <f>ROUND((NationalDataInterm!AG72/NationalDataInterm!L72)*L72,1)</f>
        <v>2536.1</v>
      </c>
      <c r="AH72" s="60">
        <f>ROUND((NationalDataInterm!AH72/NationalDataInterm!M72)*M72,1)</f>
        <v>21137.4</v>
      </c>
      <c r="AI72" s="60">
        <f>ROUND((NationalDataInterm!AI72/NationalDataInterm!N72)*N72,1)</f>
        <v>19505.1</v>
      </c>
      <c r="AK72" s="60">
        <f t="shared" si="16"/>
        <v>0</v>
      </c>
    </row>
    <row r="73" spans="1:37" ht="12.75">
      <c r="A73" s="72">
        <v>2029</v>
      </c>
      <c r="B73" s="73">
        <v>15926.5</v>
      </c>
      <c r="C73" s="73">
        <v>1296.8</v>
      </c>
      <c r="D73" s="73">
        <v>7870.8</v>
      </c>
      <c r="E73" s="73">
        <v>8971.2</v>
      </c>
      <c r="F73" s="73">
        <v>28788.5</v>
      </c>
      <c r="G73" s="73">
        <v>8432.7</v>
      </c>
      <c r="H73" s="73">
        <v>8526.2</v>
      </c>
      <c r="I73" s="73">
        <v>66574.4</v>
      </c>
      <c r="J73" s="73">
        <v>24138</v>
      </c>
      <c r="K73" s="73">
        <v>16830.3</v>
      </c>
      <c r="L73" s="73">
        <v>2745.7</v>
      </c>
      <c r="M73" s="66">
        <v>22860.4</v>
      </c>
      <c r="N73" s="73">
        <v>21181.7</v>
      </c>
      <c r="O73" s="60">
        <v>166272</v>
      </c>
      <c r="P73" s="60">
        <v>0</v>
      </c>
      <c r="Q73" s="60"/>
      <c r="U73" s="60">
        <f>(O73-O72)/(O$74-O$69)*(U$74-U$69)+U72</f>
        <v>143946.8</v>
      </c>
      <c r="W73" s="60">
        <f>ROUND((NationalDataInterm!W73/NationalDataInterm!B73)*B73,1)</f>
        <v>14599.1</v>
      </c>
      <c r="X73" s="60">
        <f>ROUND((NationalDataInterm!X73/NationalDataInterm!C73)*C73,1)</f>
        <v>1188.7</v>
      </c>
      <c r="Y73" s="60">
        <f>ROUND((NationalDataInterm!Y73/NationalDataInterm!D73)*D73,1)</f>
        <v>7214.8</v>
      </c>
      <c r="Z73" s="60">
        <f>ROUND((NationalDataInterm!Z73/NationalDataInterm!E73)*E73,1)</f>
        <v>8223.5</v>
      </c>
      <c r="AA73" s="60">
        <f>ROUND((NationalDataInterm!AA73/NationalDataInterm!F73)*F73,1)</f>
        <v>26389.1</v>
      </c>
      <c r="AB73" s="60">
        <f>ROUND((NationalDataInterm!AB73/NationalDataInterm!G73)*G73,1)</f>
        <v>7729.9</v>
      </c>
      <c r="AC73" s="60">
        <f>ROUND((NationalDataInterm!AC73/NationalDataInterm!H73)*H73,1)</f>
        <v>7815.6</v>
      </c>
      <c r="AD73" s="60">
        <f>ROUND((NationalDataInterm!AD73/NationalDataInterm!I73)*I73,1)</f>
        <v>61025.6</v>
      </c>
      <c r="AE73" s="60">
        <f>ROUND((NationalDataInterm!AE73/NationalDataInterm!J73)*J73,1)</f>
        <v>22126.2</v>
      </c>
      <c r="AF73" s="60">
        <f>ROUND((NationalDataInterm!AF73/NationalDataInterm!K73)*K73,1)</f>
        <v>15427.5</v>
      </c>
      <c r="AG73" s="60">
        <f>ROUND((NationalDataInterm!AG73/NationalDataInterm!L73)*L73,1)</f>
        <v>2516.9</v>
      </c>
      <c r="AH73" s="60">
        <f>ROUND((NationalDataInterm!AH73/NationalDataInterm!M73)*M73,1)</f>
        <v>20955.1</v>
      </c>
      <c r="AI73" s="60">
        <f>ROUND((NationalDataInterm!AI73/NationalDataInterm!N73)*N73,1)</f>
        <v>19416.3</v>
      </c>
      <c r="AK73" s="60">
        <f t="shared" si="16"/>
        <v>-0.09999999999854481</v>
      </c>
    </row>
    <row r="74" spans="1:37" ht="12.75">
      <c r="A74" s="72">
        <v>2030</v>
      </c>
      <c r="B74" s="73">
        <v>15870.2</v>
      </c>
      <c r="C74" s="73">
        <v>1291.7</v>
      </c>
      <c r="D74" s="73">
        <v>7880.9</v>
      </c>
      <c r="E74" s="73">
        <v>8990.5</v>
      </c>
      <c r="F74" s="73">
        <v>28913</v>
      </c>
      <c r="G74" s="73">
        <v>8455.7</v>
      </c>
      <c r="H74" s="73">
        <v>8538.1</v>
      </c>
      <c r="I74" s="73">
        <v>67397.5</v>
      </c>
      <c r="J74" s="73">
        <v>24738.1</v>
      </c>
      <c r="K74" s="73">
        <v>17375.7</v>
      </c>
      <c r="L74" s="73">
        <v>2796.4</v>
      </c>
      <c r="M74" s="66">
        <v>22487.3</v>
      </c>
      <c r="N74" s="73">
        <v>21256.7</v>
      </c>
      <c r="O74" s="60">
        <v>167302.6</v>
      </c>
      <c r="P74" s="60">
        <v>0</v>
      </c>
      <c r="Q74" s="60"/>
      <c r="U74" s="123">
        <f>U69*(1+S98)</f>
        <v>143946.8</v>
      </c>
      <c r="W74" s="60">
        <f>ROUND((NationalDataInterm!W74/NationalDataInterm!B74)*B74,1)</f>
        <v>14428.4</v>
      </c>
      <c r="X74" s="60">
        <f>ROUND((NationalDataInterm!X74/NationalDataInterm!C74)*C74,1)</f>
        <v>1174.3</v>
      </c>
      <c r="Y74" s="60">
        <f>ROUND((NationalDataInterm!Y74/NationalDataInterm!D74)*D74,1)</f>
        <v>7164.9</v>
      </c>
      <c r="Z74" s="60">
        <f>ROUND((NationalDataInterm!Z74/NationalDataInterm!E74)*E74,1)</f>
        <v>8173.7</v>
      </c>
      <c r="AA74" s="60">
        <f>ROUND((NationalDataInterm!AA74/NationalDataInterm!F74)*F74,1)</f>
        <v>26286.2</v>
      </c>
      <c r="AB74" s="60">
        <f>ROUND((NationalDataInterm!AB74/NationalDataInterm!G74)*G74,1)</f>
        <v>7687.5</v>
      </c>
      <c r="AC74" s="60">
        <f>ROUND((NationalDataInterm!AC74/NationalDataInterm!H74)*H74,1)</f>
        <v>7762.4</v>
      </c>
      <c r="AD74" s="60">
        <f>ROUND((NationalDataInterm!AD74/NationalDataInterm!I74)*I74,1)</f>
        <v>61274.3</v>
      </c>
      <c r="AE74" s="60">
        <f>ROUND((NationalDataInterm!AE74/NationalDataInterm!J74)*J74,1)</f>
        <v>22490.6</v>
      </c>
      <c r="AF74" s="60">
        <f>ROUND((NationalDataInterm!AF74/NationalDataInterm!K74)*K74,1)</f>
        <v>15797.1</v>
      </c>
      <c r="AG74" s="60">
        <f>ROUND((NationalDataInterm!AG74/NationalDataInterm!L74)*L74,1)</f>
        <v>2542.3</v>
      </c>
      <c r="AH74" s="60">
        <f>ROUND((NationalDataInterm!AH74/NationalDataInterm!M74)*M74,1)</f>
        <v>20444.3</v>
      </c>
      <c r="AI74" s="60">
        <f>ROUND((NationalDataInterm!AI74/NationalDataInterm!N74)*N74,1)</f>
        <v>19325.5</v>
      </c>
      <c r="AK74" s="60">
        <f t="shared" si="16"/>
        <v>0</v>
      </c>
    </row>
    <row r="75" spans="1:14" ht="12.75">
      <c r="A75" s="72"/>
      <c r="B75" s="67"/>
      <c r="C75" s="67"/>
      <c r="E75" s="67"/>
      <c r="I75" s="66"/>
      <c r="J75" s="66"/>
      <c r="N75" s="67"/>
    </row>
    <row r="76" spans="1:21" ht="12.75">
      <c r="A76" s="72"/>
      <c r="G76" s="67"/>
      <c r="I76" s="66"/>
      <c r="J76" s="73"/>
      <c r="L76" s="67"/>
      <c r="U76" s="61" t="s">
        <v>359</v>
      </c>
    </row>
    <row r="77" spans="1:21" ht="12.75">
      <c r="A77" s="72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U77" s="61" t="s">
        <v>360</v>
      </c>
    </row>
    <row r="78" spans="1:15" ht="12.75">
      <c r="A78" s="72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</row>
    <row r="79" spans="1:15" ht="12.75">
      <c r="A79" s="72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</row>
    <row r="80" spans="1:15" ht="12.75">
      <c r="A80" s="72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</row>
    <row r="81" spans="1:19" ht="12.75">
      <c r="A81" s="72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R81" s="40"/>
      <c r="S81" s="40"/>
    </row>
    <row r="82" spans="1:19" ht="12.75">
      <c r="A82" s="72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22"/>
      <c r="R82" s="115"/>
      <c r="S82" s="115"/>
    </row>
    <row r="83" ht="12.75">
      <c r="P83" s="113"/>
    </row>
    <row r="84" spans="10:19" ht="12.75">
      <c r="J84" s="62"/>
      <c r="P84" s="113"/>
      <c r="R84" s="115"/>
      <c r="S84" s="115"/>
    </row>
    <row r="85" spans="10:19" ht="12.75">
      <c r="J85" s="62"/>
      <c r="P85" s="113"/>
      <c r="R85" s="115"/>
      <c r="S85" s="115"/>
    </row>
    <row r="86" spans="1:19" ht="12.75">
      <c r="A86" s="72"/>
      <c r="J86" s="62"/>
      <c r="P86" s="113"/>
      <c r="R86" s="115"/>
      <c r="S86" s="115"/>
    </row>
    <row r="87" ht="12.75">
      <c r="J87" s="62"/>
    </row>
    <row r="88" spans="1:19" ht="12.75">
      <c r="A88" s="61"/>
      <c r="J88" s="62"/>
      <c r="R88" s="122"/>
      <c r="S88" s="113"/>
    </row>
    <row r="89" spans="18:19" ht="12.75">
      <c r="R89" s="61"/>
      <c r="S89" s="62"/>
    </row>
    <row r="90" spans="18:19" ht="12.75">
      <c r="R90" s="122"/>
      <c r="S90" s="113"/>
    </row>
    <row r="93" spans="18:19" ht="12.75">
      <c r="R93" s="61"/>
      <c r="S93" s="61"/>
    </row>
    <row r="94" ht="12.75">
      <c r="U94" s="115"/>
    </row>
    <row r="95" spans="18:22" ht="12.75">
      <c r="R95" s="115"/>
      <c r="S95" s="102"/>
      <c r="U95" s="115"/>
      <c r="V95" s="115"/>
    </row>
    <row r="96" spans="1:22" ht="12.75">
      <c r="A96" s="61"/>
      <c r="K96" s="59"/>
      <c r="N96" s="74"/>
      <c r="O96" s="74"/>
      <c r="R96" s="115"/>
      <c r="S96" s="102"/>
      <c r="U96" s="115"/>
      <c r="V96" s="115"/>
    </row>
    <row r="97" spans="2:22" ht="12.75">
      <c r="B97" s="75"/>
      <c r="C97" s="75"/>
      <c r="D97" s="75"/>
      <c r="E97" s="75"/>
      <c r="F97" s="75"/>
      <c r="G97" s="75"/>
      <c r="H97" s="75"/>
      <c r="K97" s="75"/>
      <c r="L97" s="75"/>
      <c r="N97" s="75"/>
      <c r="O97" s="76"/>
      <c r="R97" s="115"/>
      <c r="S97" s="102"/>
      <c r="U97" s="115"/>
      <c r="V97" s="115"/>
    </row>
    <row r="98" spans="2:22" ht="12.75">
      <c r="B98" s="75"/>
      <c r="C98" s="75"/>
      <c r="D98" s="75"/>
      <c r="E98" s="75"/>
      <c r="F98" s="75"/>
      <c r="G98" s="75"/>
      <c r="H98" s="75"/>
      <c r="K98" s="75"/>
      <c r="L98" s="75"/>
      <c r="N98" s="75"/>
      <c r="O98" s="76"/>
      <c r="R98" s="115"/>
      <c r="S98" s="102"/>
      <c r="U98" s="115"/>
      <c r="V98" s="115"/>
    </row>
    <row r="99" spans="2:22" ht="12.75">
      <c r="B99" s="75"/>
      <c r="C99" s="75"/>
      <c r="D99" s="75"/>
      <c r="E99" s="75"/>
      <c r="F99" s="75"/>
      <c r="G99" s="75"/>
      <c r="H99" s="75"/>
      <c r="K99" s="75"/>
      <c r="L99" s="75"/>
      <c r="N99" s="75"/>
      <c r="O99" s="76"/>
      <c r="U99" s="124"/>
      <c r="V99" s="124"/>
    </row>
    <row r="100" spans="2:19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N100" s="75"/>
      <c r="O100" s="76"/>
      <c r="P100" s="117"/>
      <c r="R100" s="117"/>
      <c r="S100" s="61"/>
    </row>
    <row r="101" spans="2:15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N101" s="75"/>
      <c r="O101" s="76"/>
    </row>
    <row r="102" spans="9:10" ht="12.75">
      <c r="I102" s="75"/>
      <c r="J102" s="75"/>
    </row>
    <row r="103" spans="9:10" ht="12.75">
      <c r="I103" s="75"/>
      <c r="J103" s="75"/>
    </row>
    <row r="104" spans="9:10" ht="12.75">
      <c r="I104" s="75"/>
      <c r="J104" s="75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1:AK104"/>
  <sheetViews>
    <sheetView workbookViewId="0" topLeftCell="A1">
      <pane xSplit="1" ySplit="1" topLeftCell="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3" sqref="AA3"/>
    </sheetView>
  </sheetViews>
  <sheetFormatPr defaultColWidth="9.140625" defaultRowHeight="12.75"/>
  <cols>
    <col min="1" max="1" width="9.140625" style="62" customWidth="1"/>
    <col min="2" max="10" width="12.7109375" style="59" customWidth="1"/>
    <col min="11" max="11" width="11.140625" style="56" customWidth="1"/>
    <col min="12" max="12" width="12.7109375" style="59" customWidth="1"/>
    <col min="13" max="13" width="10.28125" style="56" customWidth="1"/>
    <col min="14" max="14" width="12.7109375" style="59" customWidth="1"/>
    <col min="15" max="15" width="18.140625" style="56" customWidth="1"/>
    <col min="16" max="16" width="15.7109375" style="56" customWidth="1"/>
    <col min="17" max="17" width="9.140625" style="56" customWidth="1"/>
    <col min="18" max="18" width="10.7109375" style="56" customWidth="1"/>
    <col min="19" max="19" width="12.421875" style="56" customWidth="1"/>
    <col min="20" max="20" width="9.140625" style="56" customWidth="1"/>
    <col min="21" max="21" width="18.28125" style="56" customWidth="1"/>
    <col min="22" max="22" width="20.57421875" style="56" bestFit="1" customWidth="1"/>
    <col min="23" max="35" width="15.7109375" style="56" customWidth="1"/>
    <col min="36" max="16384" width="9.140625" style="56" customWidth="1"/>
  </cols>
  <sheetData>
    <row r="1" spans="1:35" ht="63.75">
      <c r="A1" s="40" t="s">
        <v>98</v>
      </c>
      <c r="B1" s="52" t="s">
        <v>99</v>
      </c>
      <c r="C1" s="52" t="s">
        <v>100</v>
      </c>
      <c r="D1" s="52" t="s">
        <v>101</v>
      </c>
      <c r="E1" s="52" t="s">
        <v>102</v>
      </c>
      <c r="F1" s="52" t="s">
        <v>103</v>
      </c>
      <c r="G1" s="52" t="s">
        <v>104</v>
      </c>
      <c r="H1" s="52" t="s">
        <v>105</v>
      </c>
      <c r="I1" s="53" t="s">
        <v>106</v>
      </c>
      <c r="J1" s="53" t="s">
        <v>107</v>
      </c>
      <c r="K1" s="53" t="s">
        <v>108</v>
      </c>
      <c r="L1" s="53" t="s">
        <v>109</v>
      </c>
      <c r="M1" s="52" t="s">
        <v>110</v>
      </c>
      <c r="N1" s="54" t="s">
        <v>111</v>
      </c>
      <c r="O1" s="55" t="s">
        <v>112</v>
      </c>
      <c r="P1" s="55" t="s">
        <v>113</v>
      </c>
      <c r="U1" s="55" t="s">
        <v>112</v>
      </c>
      <c r="W1" s="52" t="s">
        <v>99</v>
      </c>
      <c r="X1" s="52" t="s">
        <v>100</v>
      </c>
      <c r="Y1" s="52" t="s">
        <v>101</v>
      </c>
      <c r="Z1" s="52" t="s">
        <v>102</v>
      </c>
      <c r="AA1" s="52" t="s">
        <v>103</v>
      </c>
      <c r="AB1" s="52" t="s">
        <v>104</v>
      </c>
      <c r="AC1" s="52" t="s">
        <v>105</v>
      </c>
      <c r="AD1" s="53" t="s">
        <v>106</v>
      </c>
      <c r="AE1" s="53" t="s">
        <v>107</v>
      </c>
      <c r="AF1" s="53" t="s">
        <v>108</v>
      </c>
      <c r="AG1" s="53" t="s">
        <v>109</v>
      </c>
      <c r="AH1" s="52" t="s">
        <v>110</v>
      </c>
      <c r="AI1" s="54" t="s">
        <v>111</v>
      </c>
    </row>
    <row r="2" spans="1:35" ht="12.75">
      <c r="A2" s="57">
        <v>1958</v>
      </c>
      <c r="B2" s="58">
        <v>15945</v>
      </c>
      <c r="C2" s="58">
        <v>872.6</v>
      </c>
      <c r="D2" s="59">
        <v>2817</v>
      </c>
      <c r="E2" s="59">
        <v>3976</v>
      </c>
      <c r="F2" s="59">
        <v>7761</v>
      </c>
      <c r="G2" s="59">
        <v>2989</v>
      </c>
      <c r="H2" s="59">
        <v>2481</v>
      </c>
      <c r="I2" s="59">
        <v>8816</v>
      </c>
      <c r="J2" s="59">
        <v>555</v>
      </c>
      <c r="K2" s="59">
        <v>1365.2</v>
      </c>
      <c r="N2" s="59">
        <v>5648</v>
      </c>
      <c r="O2" s="60">
        <v>50433</v>
      </c>
      <c r="U2" s="60">
        <f>O2</f>
        <v>50433</v>
      </c>
      <c r="W2" s="60">
        <f aca="true" t="shared" si="0" ref="W2:W33">B2</f>
        <v>15945</v>
      </c>
      <c r="X2" s="60">
        <f aca="true" t="shared" si="1" ref="X2:AI17">C2</f>
        <v>872.6</v>
      </c>
      <c r="Y2" s="60">
        <f t="shared" si="1"/>
        <v>2817</v>
      </c>
      <c r="Z2" s="60">
        <f t="shared" si="1"/>
        <v>3976</v>
      </c>
      <c r="AA2" s="60">
        <f t="shared" si="1"/>
        <v>7761</v>
      </c>
      <c r="AB2" s="60">
        <f t="shared" si="1"/>
        <v>2989</v>
      </c>
      <c r="AC2" s="60">
        <f t="shared" si="1"/>
        <v>2481</v>
      </c>
      <c r="AD2" s="60">
        <f t="shared" si="1"/>
        <v>8816</v>
      </c>
      <c r="AE2" s="60">
        <f t="shared" si="1"/>
        <v>555</v>
      </c>
      <c r="AF2" s="60">
        <f t="shared" si="1"/>
        <v>1365.2</v>
      </c>
      <c r="AG2" s="60">
        <f t="shared" si="1"/>
        <v>0</v>
      </c>
      <c r="AH2" s="60">
        <f t="shared" si="1"/>
        <v>0</v>
      </c>
      <c r="AI2" s="60">
        <f t="shared" si="1"/>
        <v>5648</v>
      </c>
    </row>
    <row r="3" spans="1:35" ht="12.75">
      <c r="A3" s="57">
        <v>1959</v>
      </c>
      <c r="B3" s="58">
        <v>16675</v>
      </c>
      <c r="C3" s="58">
        <v>888.5</v>
      </c>
      <c r="D3" s="59">
        <v>3004</v>
      </c>
      <c r="E3" s="59">
        <v>4011</v>
      </c>
      <c r="F3" s="59">
        <v>8035</v>
      </c>
      <c r="G3" s="59">
        <v>3092</v>
      </c>
      <c r="H3" s="59">
        <v>2549</v>
      </c>
      <c r="I3" s="59">
        <v>9157</v>
      </c>
      <c r="J3" s="59">
        <v>607.6</v>
      </c>
      <c r="K3" s="59">
        <v>1453.7</v>
      </c>
      <c r="N3" s="59">
        <v>5850</v>
      </c>
      <c r="O3" s="60">
        <v>52373</v>
      </c>
      <c r="U3" s="60">
        <f aca="true" t="shared" si="2" ref="U3:U54">O3</f>
        <v>52373</v>
      </c>
      <c r="W3" s="60">
        <f t="shared" si="0"/>
        <v>16675</v>
      </c>
      <c r="X3" s="60">
        <f t="shared" si="1"/>
        <v>888.5</v>
      </c>
      <c r="Y3" s="60">
        <f t="shared" si="1"/>
        <v>3004</v>
      </c>
      <c r="Z3" s="60">
        <f t="shared" si="1"/>
        <v>4011</v>
      </c>
      <c r="AA3" s="60">
        <f t="shared" si="1"/>
        <v>8035</v>
      </c>
      <c r="AB3" s="60">
        <f t="shared" si="1"/>
        <v>3092</v>
      </c>
      <c r="AC3" s="60">
        <f t="shared" si="1"/>
        <v>2549</v>
      </c>
      <c r="AD3" s="60">
        <f t="shared" si="1"/>
        <v>9157</v>
      </c>
      <c r="AE3" s="60">
        <f t="shared" si="1"/>
        <v>607.6</v>
      </c>
      <c r="AF3" s="60">
        <f t="shared" si="1"/>
        <v>1453.7</v>
      </c>
      <c r="AG3" s="60">
        <f t="shared" si="1"/>
        <v>0</v>
      </c>
      <c r="AH3" s="60">
        <f t="shared" si="1"/>
        <v>0</v>
      </c>
      <c r="AI3" s="60">
        <f t="shared" si="1"/>
        <v>5850</v>
      </c>
    </row>
    <row r="4" spans="1:35" ht="12.75">
      <c r="A4" s="57">
        <v>1960</v>
      </c>
      <c r="B4" s="58">
        <v>16796</v>
      </c>
      <c r="C4" s="58">
        <v>911.3</v>
      </c>
      <c r="D4" s="59">
        <v>2926</v>
      </c>
      <c r="E4" s="59">
        <v>4004</v>
      </c>
      <c r="F4" s="59">
        <v>8238</v>
      </c>
      <c r="G4" s="59">
        <v>3153</v>
      </c>
      <c r="H4" s="59">
        <v>2628</v>
      </c>
      <c r="I4" s="59">
        <v>9379</v>
      </c>
      <c r="J4" s="59">
        <v>655.7</v>
      </c>
      <c r="K4" s="59">
        <v>1547.6</v>
      </c>
      <c r="N4" s="59">
        <v>6083</v>
      </c>
      <c r="O4" s="60">
        <v>53207</v>
      </c>
      <c r="U4" s="60">
        <f t="shared" si="2"/>
        <v>53207</v>
      </c>
      <c r="W4" s="60">
        <f t="shared" si="0"/>
        <v>16796</v>
      </c>
      <c r="X4" s="60">
        <f t="shared" si="1"/>
        <v>911.3</v>
      </c>
      <c r="Y4" s="60">
        <f t="shared" si="1"/>
        <v>2926</v>
      </c>
      <c r="Z4" s="60">
        <f t="shared" si="1"/>
        <v>4004</v>
      </c>
      <c r="AA4" s="60">
        <f t="shared" si="1"/>
        <v>8238</v>
      </c>
      <c r="AB4" s="60">
        <f t="shared" si="1"/>
        <v>3153</v>
      </c>
      <c r="AC4" s="60">
        <f t="shared" si="1"/>
        <v>2628</v>
      </c>
      <c r="AD4" s="60">
        <f t="shared" si="1"/>
        <v>9379</v>
      </c>
      <c r="AE4" s="60">
        <f t="shared" si="1"/>
        <v>655.7</v>
      </c>
      <c r="AF4" s="60">
        <f t="shared" si="1"/>
        <v>1547.6</v>
      </c>
      <c r="AG4" s="60">
        <f t="shared" si="1"/>
        <v>0</v>
      </c>
      <c r="AH4" s="60">
        <f t="shared" si="1"/>
        <v>0</v>
      </c>
      <c r="AI4" s="60">
        <f t="shared" si="1"/>
        <v>6083</v>
      </c>
    </row>
    <row r="5" spans="1:35" ht="12.75">
      <c r="A5" s="57">
        <v>1961</v>
      </c>
      <c r="B5" s="58">
        <v>16326</v>
      </c>
      <c r="C5" s="58">
        <v>917.3</v>
      </c>
      <c r="D5" s="59">
        <v>2859</v>
      </c>
      <c r="E5" s="59">
        <v>3903</v>
      </c>
      <c r="F5" s="59">
        <v>8195</v>
      </c>
      <c r="G5" s="59">
        <v>3142</v>
      </c>
      <c r="H5" s="59">
        <v>2688</v>
      </c>
      <c r="I5" s="59">
        <v>9687</v>
      </c>
      <c r="J5" s="59">
        <v>693.2</v>
      </c>
      <c r="K5" s="59">
        <v>1640.1</v>
      </c>
      <c r="N5" s="59">
        <v>6315</v>
      </c>
      <c r="O5" s="60">
        <v>53115</v>
      </c>
      <c r="U5" s="60">
        <f t="shared" si="2"/>
        <v>53115</v>
      </c>
      <c r="W5" s="60">
        <f t="shared" si="0"/>
        <v>16326</v>
      </c>
      <c r="X5" s="60">
        <f t="shared" si="1"/>
        <v>917.3</v>
      </c>
      <c r="Y5" s="60">
        <f t="shared" si="1"/>
        <v>2859</v>
      </c>
      <c r="Z5" s="60">
        <f t="shared" si="1"/>
        <v>3903</v>
      </c>
      <c r="AA5" s="60">
        <f t="shared" si="1"/>
        <v>8195</v>
      </c>
      <c r="AB5" s="60">
        <f t="shared" si="1"/>
        <v>3142</v>
      </c>
      <c r="AC5" s="60">
        <f t="shared" si="1"/>
        <v>2688</v>
      </c>
      <c r="AD5" s="60">
        <f t="shared" si="1"/>
        <v>9687</v>
      </c>
      <c r="AE5" s="60">
        <f t="shared" si="1"/>
        <v>693.2</v>
      </c>
      <c r="AF5" s="60">
        <f t="shared" si="1"/>
        <v>1640.1</v>
      </c>
      <c r="AG5" s="60">
        <f t="shared" si="1"/>
        <v>0</v>
      </c>
      <c r="AH5" s="60">
        <f t="shared" si="1"/>
        <v>0</v>
      </c>
      <c r="AI5" s="60">
        <f t="shared" si="1"/>
        <v>6315</v>
      </c>
    </row>
    <row r="6" spans="1:35" ht="12.75">
      <c r="A6" s="57">
        <v>1962</v>
      </c>
      <c r="B6" s="58">
        <v>16853</v>
      </c>
      <c r="C6" s="58">
        <v>926.4</v>
      </c>
      <c r="D6" s="59">
        <v>2948</v>
      </c>
      <c r="E6" s="59">
        <v>3906</v>
      </c>
      <c r="F6" s="59">
        <v>8359</v>
      </c>
      <c r="G6" s="59">
        <v>3207</v>
      </c>
      <c r="H6" s="59">
        <v>2754</v>
      </c>
      <c r="I6" s="59">
        <v>10038</v>
      </c>
      <c r="J6" s="59">
        <v>753.7</v>
      </c>
      <c r="K6" s="59">
        <v>1739.3</v>
      </c>
      <c r="N6" s="59">
        <v>6550</v>
      </c>
      <c r="O6" s="60">
        <v>54615</v>
      </c>
      <c r="U6" s="60">
        <f t="shared" si="2"/>
        <v>54615</v>
      </c>
      <c r="W6" s="60">
        <f t="shared" si="0"/>
        <v>16853</v>
      </c>
      <c r="X6" s="60">
        <f t="shared" si="1"/>
        <v>926.4</v>
      </c>
      <c r="Y6" s="60">
        <f t="shared" si="1"/>
        <v>2948</v>
      </c>
      <c r="Z6" s="60">
        <f t="shared" si="1"/>
        <v>3906</v>
      </c>
      <c r="AA6" s="60">
        <f t="shared" si="1"/>
        <v>8359</v>
      </c>
      <c r="AB6" s="60">
        <f t="shared" si="1"/>
        <v>3207</v>
      </c>
      <c r="AC6" s="60">
        <f t="shared" si="1"/>
        <v>2754</v>
      </c>
      <c r="AD6" s="60">
        <f t="shared" si="1"/>
        <v>10038</v>
      </c>
      <c r="AE6" s="60">
        <f t="shared" si="1"/>
        <v>753.7</v>
      </c>
      <c r="AF6" s="60">
        <f t="shared" si="1"/>
        <v>1739.3</v>
      </c>
      <c r="AG6" s="60">
        <f t="shared" si="1"/>
        <v>0</v>
      </c>
      <c r="AH6" s="60">
        <f t="shared" si="1"/>
        <v>0</v>
      </c>
      <c r="AI6" s="60">
        <f t="shared" si="1"/>
        <v>6550</v>
      </c>
    </row>
    <row r="7" spans="1:35" ht="12.75">
      <c r="A7" s="57">
        <v>1963</v>
      </c>
      <c r="B7" s="58">
        <v>16996</v>
      </c>
      <c r="C7" s="58">
        <v>930.6</v>
      </c>
      <c r="D7" s="59">
        <v>3010</v>
      </c>
      <c r="E7" s="59">
        <v>3903</v>
      </c>
      <c r="F7" s="59">
        <v>8520</v>
      </c>
      <c r="G7" s="59">
        <v>3258</v>
      </c>
      <c r="H7" s="59">
        <v>2830</v>
      </c>
      <c r="I7" s="59">
        <v>10338</v>
      </c>
      <c r="J7" s="59">
        <v>813.7</v>
      </c>
      <c r="K7" s="59">
        <v>1837</v>
      </c>
      <c r="N7" s="59">
        <v>6868</v>
      </c>
      <c r="O7" s="60">
        <v>55723</v>
      </c>
      <c r="U7" s="60">
        <f t="shared" si="2"/>
        <v>55723</v>
      </c>
      <c r="W7" s="60">
        <f t="shared" si="0"/>
        <v>16996</v>
      </c>
      <c r="X7" s="60">
        <f t="shared" si="1"/>
        <v>930.6</v>
      </c>
      <c r="Y7" s="60">
        <f t="shared" si="1"/>
        <v>3010</v>
      </c>
      <c r="Z7" s="60">
        <f t="shared" si="1"/>
        <v>3903</v>
      </c>
      <c r="AA7" s="60">
        <f t="shared" si="1"/>
        <v>8520</v>
      </c>
      <c r="AB7" s="60">
        <f t="shared" si="1"/>
        <v>3258</v>
      </c>
      <c r="AC7" s="60">
        <f t="shared" si="1"/>
        <v>2830</v>
      </c>
      <c r="AD7" s="60">
        <f t="shared" si="1"/>
        <v>10338</v>
      </c>
      <c r="AE7" s="60">
        <f t="shared" si="1"/>
        <v>813.7</v>
      </c>
      <c r="AF7" s="60">
        <f t="shared" si="1"/>
        <v>1837</v>
      </c>
      <c r="AG7" s="60">
        <f t="shared" si="1"/>
        <v>0</v>
      </c>
      <c r="AH7" s="60">
        <f t="shared" si="1"/>
        <v>0</v>
      </c>
      <c r="AI7" s="60">
        <f t="shared" si="1"/>
        <v>6868</v>
      </c>
    </row>
    <row r="8" spans="1:35" ht="12.75">
      <c r="A8" s="57">
        <v>1964</v>
      </c>
      <c r="B8" s="58">
        <v>17274</v>
      </c>
      <c r="C8" s="58">
        <v>951.5</v>
      </c>
      <c r="D8" s="59">
        <v>3097</v>
      </c>
      <c r="E8" s="59">
        <v>3951</v>
      </c>
      <c r="F8" s="59">
        <v>8812</v>
      </c>
      <c r="G8" s="59">
        <v>3347</v>
      </c>
      <c r="H8" s="59">
        <v>2911</v>
      </c>
      <c r="I8" s="59">
        <v>10751</v>
      </c>
      <c r="J8" s="59">
        <v>880.8</v>
      </c>
      <c r="K8" s="59">
        <v>1963</v>
      </c>
      <c r="N8" s="59">
        <v>7248</v>
      </c>
      <c r="O8" s="60">
        <v>57391</v>
      </c>
      <c r="U8" s="60">
        <f t="shared" si="2"/>
        <v>57391</v>
      </c>
      <c r="W8" s="60">
        <f t="shared" si="0"/>
        <v>17274</v>
      </c>
      <c r="X8" s="60">
        <f t="shared" si="1"/>
        <v>951.5</v>
      </c>
      <c r="Y8" s="60">
        <f t="shared" si="1"/>
        <v>3097</v>
      </c>
      <c r="Z8" s="60">
        <f t="shared" si="1"/>
        <v>3951</v>
      </c>
      <c r="AA8" s="60">
        <f t="shared" si="1"/>
        <v>8812</v>
      </c>
      <c r="AB8" s="60">
        <f t="shared" si="1"/>
        <v>3347</v>
      </c>
      <c r="AC8" s="60">
        <f t="shared" si="1"/>
        <v>2911</v>
      </c>
      <c r="AD8" s="60">
        <f t="shared" si="1"/>
        <v>10751</v>
      </c>
      <c r="AE8" s="60">
        <f t="shared" si="1"/>
        <v>880.8</v>
      </c>
      <c r="AF8" s="60">
        <f t="shared" si="1"/>
        <v>1963</v>
      </c>
      <c r="AG8" s="60">
        <f t="shared" si="1"/>
        <v>0</v>
      </c>
      <c r="AH8" s="60">
        <f t="shared" si="1"/>
        <v>0</v>
      </c>
      <c r="AI8" s="60">
        <f t="shared" si="1"/>
        <v>7248</v>
      </c>
    </row>
    <row r="9" spans="1:35" ht="12.75">
      <c r="A9" s="57">
        <v>1965</v>
      </c>
      <c r="B9" s="58">
        <v>18062</v>
      </c>
      <c r="C9" s="58">
        <v>979.4</v>
      </c>
      <c r="D9" s="59">
        <v>3232</v>
      </c>
      <c r="E9" s="59">
        <v>4036</v>
      </c>
      <c r="F9" s="59">
        <v>9239</v>
      </c>
      <c r="G9" s="59">
        <v>3477</v>
      </c>
      <c r="H9" s="59">
        <v>2977</v>
      </c>
      <c r="I9" s="59">
        <v>11025</v>
      </c>
      <c r="J9" s="59">
        <v>954.9</v>
      </c>
      <c r="K9" s="59">
        <v>2079.5</v>
      </c>
      <c r="N9" s="59">
        <v>7696</v>
      </c>
      <c r="O9" s="60">
        <v>59744</v>
      </c>
      <c r="U9" s="60">
        <f t="shared" si="2"/>
        <v>59744</v>
      </c>
      <c r="W9" s="60">
        <f t="shared" si="0"/>
        <v>18062</v>
      </c>
      <c r="X9" s="60">
        <f t="shared" si="1"/>
        <v>979.4</v>
      </c>
      <c r="Y9" s="60">
        <f t="shared" si="1"/>
        <v>3232</v>
      </c>
      <c r="Z9" s="60">
        <f t="shared" si="1"/>
        <v>4036</v>
      </c>
      <c r="AA9" s="60">
        <f t="shared" si="1"/>
        <v>9239</v>
      </c>
      <c r="AB9" s="60">
        <f t="shared" si="1"/>
        <v>3477</v>
      </c>
      <c r="AC9" s="60">
        <f t="shared" si="1"/>
        <v>2977</v>
      </c>
      <c r="AD9" s="60">
        <f t="shared" si="1"/>
        <v>11025</v>
      </c>
      <c r="AE9" s="60">
        <f t="shared" si="1"/>
        <v>954.9</v>
      </c>
      <c r="AF9" s="60">
        <f t="shared" si="1"/>
        <v>2079.5</v>
      </c>
      <c r="AG9" s="60">
        <f t="shared" si="1"/>
        <v>0</v>
      </c>
      <c r="AH9" s="60">
        <f t="shared" si="1"/>
        <v>0</v>
      </c>
      <c r="AI9" s="60">
        <f t="shared" si="1"/>
        <v>7696</v>
      </c>
    </row>
    <row r="10" spans="1:35" ht="12.75">
      <c r="A10" s="57">
        <v>1966</v>
      </c>
      <c r="B10" s="58">
        <v>19213</v>
      </c>
      <c r="C10" s="58">
        <v>1016.9</v>
      </c>
      <c r="D10" s="59">
        <v>3317</v>
      </c>
      <c r="E10" s="59">
        <v>4158</v>
      </c>
      <c r="F10" s="59">
        <v>9637</v>
      </c>
      <c r="G10" s="59">
        <v>3608</v>
      </c>
      <c r="H10" s="59">
        <v>3058</v>
      </c>
      <c r="I10" s="59">
        <v>11381</v>
      </c>
      <c r="J10" s="59">
        <v>1051.5</v>
      </c>
      <c r="K10" s="59">
        <v>2204.2</v>
      </c>
      <c r="N10" s="59">
        <v>8220</v>
      </c>
      <c r="O10" s="60">
        <v>62592</v>
      </c>
      <c r="U10" s="60">
        <f t="shared" si="2"/>
        <v>62592</v>
      </c>
      <c r="W10" s="60">
        <f t="shared" si="0"/>
        <v>19213</v>
      </c>
      <c r="X10" s="60">
        <f t="shared" si="1"/>
        <v>1016.9</v>
      </c>
      <c r="Y10" s="60">
        <f t="shared" si="1"/>
        <v>3317</v>
      </c>
      <c r="Z10" s="60">
        <f t="shared" si="1"/>
        <v>4158</v>
      </c>
      <c r="AA10" s="60">
        <f t="shared" si="1"/>
        <v>9637</v>
      </c>
      <c r="AB10" s="60">
        <f t="shared" si="1"/>
        <v>3608</v>
      </c>
      <c r="AC10" s="60">
        <f t="shared" si="1"/>
        <v>3058</v>
      </c>
      <c r="AD10" s="60">
        <f t="shared" si="1"/>
        <v>11381</v>
      </c>
      <c r="AE10" s="60">
        <f t="shared" si="1"/>
        <v>1051.5</v>
      </c>
      <c r="AF10" s="60">
        <f t="shared" si="1"/>
        <v>2204.2</v>
      </c>
      <c r="AG10" s="60">
        <f t="shared" si="1"/>
        <v>0</v>
      </c>
      <c r="AH10" s="60">
        <f t="shared" si="1"/>
        <v>0</v>
      </c>
      <c r="AI10" s="60">
        <f t="shared" si="1"/>
        <v>8220</v>
      </c>
    </row>
    <row r="11" spans="1:35" ht="12.75">
      <c r="A11" s="57">
        <v>1967</v>
      </c>
      <c r="B11" s="58">
        <v>19447</v>
      </c>
      <c r="C11" s="58">
        <v>1047.8</v>
      </c>
      <c r="D11" s="59">
        <v>3248</v>
      </c>
      <c r="E11" s="59">
        <v>4268</v>
      </c>
      <c r="F11" s="59">
        <v>9906</v>
      </c>
      <c r="G11" s="59">
        <v>3700</v>
      </c>
      <c r="H11" s="59">
        <v>3185</v>
      </c>
      <c r="I11" s="59">
        <v>11823</v>
      </c>
      <c r="J11" s="59">
        <v>1144.6</v>
      </c>
      <c r="K11" s="59">
        <v>2434.3</v>
      </c>
      <c r="N11" s="59">
        <v>8672</v>
      </c>
      <c r="O11" s="60">
        <v>64249</v>
      </c>
      <c r="U11" s="60">
        <f t="shared" si="2"/>
        <v>64249</v>
      </c>
      <c r="W11" s="60">
        <f t="shared" si="0"/>
        <v>19447</v>
      </c>
      <c r="X11" s="60">
        <f t="shared" si="1"/>
        <v>1047.8</v>
      </c>
      <c r="Y11" s="60">
        <f t="shared" si="1"/>
        <v>3248</v>
      </c>
      <c r="Z11" s="60">
        <f t="shared" si="1"/>
        <v>4268</v>
      </c>
      <c r="AA11" s="60">
        <f t="shared" si="1"/>
        <v>9906</v>
      </c>
      <c r="AB11" s="60">
        <f t="shared" si="1"/>
        <v>3700</v>
      </c>
      <c r="AC11" s="60">
        <f t="shared" si="1"/>
        <v>3185</v>
      </c>
      <c r="AD11" s="60">
        <f t="shared" si="1"/>
        <v>11823</v>
      </c>
      <c r="AE11" s="60">
        <f t="shared" si="1"/>
        <v>1144.6</v>
      </c>
      <c r="AF11" s="60">
        <f t="shared" si="1"/>
        <v>2434.3</v>
      </c>
      <c r="AG11" s="60">
        <f t="shared" si="1"/>
        <v>0</v>
      </c>
      <c r="AH11" s="60">
        <f t="shared" si="1"/>
        <v>0</v>
      </c>
      <c r="AI11" s="60">
        <f t="shared" si="1"/>
        <v>8672</v>
      </c>
    </row>
    <row r="12" spans="1:35" ht="12.75">
      <c r="A12" s="57">
        <v>1968</v>
      </c>
      <c r="B12" s="58">
        <v>19781</v>
      </c>
      <c r="C12" s="58">
        <v>1065.1</v>
      </c>
      <c r="D12" s="59">
        <v>3350</v>
      </c>
      <c r="E12" s="59">
        <v>4318</v>
      </c>
      <c r="F12" s="59">
        <v>10308</v>
      </c>
      <c r="G12" s="59">
        <v>3791</v>
      </c>
      <c r="H12" s="59">
        <v>3337</v>
      </c>
      <c r="I12" s="59">
        <v>12293</v>
      </c>
      <c r="J12" s="59">
        <v>1210</v>
      </c>
      <c r="K12" s="59">
        <v>2638.6</v>
      </c>
      <c r="N12" s="59">
        <v>9102</v>
      </c>
      <c r="O12" s="60">
        <v>66280</v>
      </c>
      <c r="U12" s="60">
        <f t="shared" si="2"/>
        <v>66280</v>
      </c>
      <c r="W12" s="60">
        <f t="shared" si="0"/>
        <v>19781</v>
      </c>
      <c r="X12" s="60">
        <f t="shared" si="1"/>
        <v>1065.1</v>
      </c>
      <c r="Y12" s="60">
        <f t="shared" si="1"/>
        <v>3350</v>
      </c>
      <c r="Z12" s="60">
        <f t="shared" si="1"/>
        <v>4318</v>
      </c>
      <c r="AA12" s="60">
        <f t="shared" si="1"/>
        <v>10308</v>
      </c>
      <c r="AB12" s="60">
        <f t="shared" si="1"/>
        <v>3791</v>
      </c>
      <c r="AC12" s="60">
        <f t="shared" si="1"/>
        <v>3337</v>
      </c>
      <c r="AD12" s="60">
        <f t="shared" si="1"/>
        <v>12293</v>
      </c>
      <c r="AE12" s="60">
        <f t="shared" si="1"/>
        <v>1210</v>
      </c>
      <c r="AF12" s="60">
        <f t="shared" si="1"/>
        <v>2638.6</v>
      </c>
      <c r="AG12" s="60">
        <f t="shared" si="1"/>
        <v>0</v>
      </c>
      <c r="AH12" s="60">
        <f t="shared" si="1"/>
        <v>0</v>
      </c>
      <c r="AI12" s="60">
        <f t="shared" si="1"/>
        <v>9102</v>
      </c>
    </row>
    <row r="13" spans="1:35" ht="12.75">
      <c r="A13" s="57">
        <v>1969</v>
      </c>
      <c r="B13" s="58">
        <v>20166</v>
      </c>
      <c r="C13" s="58">
        <v>1093.6</v>
      </c>
      <c r="D13" s="59">
        <v>3575</v>
      </c>
      <c r="E13" s="59">
        <v>4442</v>
      </c>
      <c r="F13" s="59">
        <v>10785</v>
      </c>
      <c r="G13" s="59">
        <v>3919</v>
      </c>
      <c r="H13" s="59">
        <v>3512</v>
      </c>
      <c r="I13" s="59">
        <v>12795</v>
      </c>
      <c r="J13" s="59">
        <v>1328.5</v>
      </c>
      <c r="K13" s="59">
        <v>2862.1</v>
      </c>
      <c r="N13" s="59">
        <v>9437</v>
      </c>
      <c r="O13" s="60">
        <v>68631</v>
      </c>
      <c r="U13" s="60">
        <f t="shared" si="2"/>
        <v>68631</v>
      </c>
      <c r="W13" s="60">
        <f t="shared" si="0"/>
        <v>20166</v>
      </c>
      <c r="X13" s="60">
        <f t="shared" si="1"/>
        <v>1093.6</v>
      </c>
      <c r="Y13" s="60">
        <f t="shared" si="1"/>
        <v>3575</v>
      </c>
      <c r="Z13" s="60">
        <f t="shared" si="1"/>
        <v>4442</v>
      </c>
      <c r="AA13" s="60">
        <f t="shared" si="1"/>
        <v>10785</v>
      </c>
      <c r="AB13" s="60">
        <f t="shared" si="1"/>
        <v>3919</v>
      </c>
      <c r="AC13" s="60">
        <f t="shared" si="1"/>
        <v>3512</v>
      </c>
      <c r="AD13" s="60">
        <f t="shared" si="1"/>
        <v>12795</v>
      </c>
      <c r="AE13" s="60">
        <f t="shared" si="1"/>
        <v>1328.5</v>
      </c>
      <c r="AF13" s="60">
        <f t="shared" si="1"/>
        <v>2862.1</v>
      </c>
      <c r="AG13" s="60">
        <f t="shared" si="1"/>
        <v>0</v>
      </c>
      <c r="AH13" s="60">
        <f t="shared" si="1"/>
        <v>0</v>
      </c>
      <c r="AI13" s="60">
        <f t="shared" si="1"/>
        <v>9437</v>
      </c>
    </row>
    <row r="14" spans="1:35" ht="12.75">
      <c r="A14" s="57">
        <v>1970</v>
      </c>
      <c r="B14" s="58">
        <v>19366</v>
      </c>
      <c r="C14" s="58">
        <v>1104.3</v>
      </c>
      <c r="D14" s="59">
        <v>3588</v>
      </c>
      <c r="E14" s="59">
        <v>4515</v>
      </c>
      <c r="F14" s="59">
        <v>11034</v>
      </c>
      <c r="G14" s="59">
        <v>4006</v>
      </c>
      <c r="H14" s="59">
        <v>3645</v>
      </c>
      <c r="I14" s="59">
        <v>13104</v>
      </c>
      <c r="J14" s="59">
        <v>1397.3</v>
      </c>
      <c r="K14" s="59">
        <v>3052.5</v>
      </c>
      <c r="L14" s="41"/>
      <c r="N14" s="59">
        <v>9823</v>
      </c>
      <c r="O14" s="60">
        <v>69081</v>
      </c>
      <c r="U14" s="60">
        <f t="shared" si="2"/>
        <v>69081</v>
      </c>
      <c r="W14" s="60">
        <f t="shared" si="0"/>
        <v>19366</v>
      </c>
      <c r="X14" s="60">
        <f t="shared" si="1"/>
        <v>1104.3</v>
      </c>
      <c r="Y14" s="60">
        <f t="shared" si="1"/>
        <v>3588</v>
      </c>
      <c r="Z14" s="60">
        <f t="shared" si="1"/>
        <v>4515</v>
      </c>
      <c r="AA14" s="60">
        <f t="shared" si="1"/>
        <v>11034</v>
      </c>
      <c r="AB14" s="60">
        <f t="shared" si="1"/>
        <v>4006</v>
      </c>
      <c r="AC14" s="60">
        <f t="shared" si="1"/>
        <v>3645</v>
      </c>
      <c r="AD14" s="60">
        <f t="shared" si="1"/>
        <v>13104</v>
      </c>
      <c r="AE14" s="60">
        <f t="shared" si="1"/>
        <v>1397.3</v>
      </c>
      <c r="AF14" s="60">
        <f t="shared" si="1"/>
        <v>3052.5</v>
      </c>
      <c r="AG14" s="60">
        <f t="shared" si="1"/>
        <v>0</v>
      </c>
      <c r="AH14" s="60">
        <f t="shared" si="1"/>
        <v>0</v>
      </c>
      <c r="AI14" s="60">
        <f t="shared" si="1"/>
        <v>9823</v>
      </c>
    </row>
    <row r="15" spans="1:35" ht="12.75">
      <c r="A15" s="57">
        <v>1971</v>
      </c>
      <c r="B15" s="58">
        <v>18623</v>
      </c>
      <c r="C15" s="58">
        <v>1080.5</v>
      </c>
      <c r="D15" s="59">
        <v>3704</v>
      </c>
      <c r="E15" s="59">
        <v>4476</v>
      </c>
      <c r="F15" s="59">
        <v>11338</v>
      </c>
      <c r="G15" s="59">
        <v>4014</v>
      </c>
      <c r="H15" s="59">
        <v>3772</v>
      </c>
      <c r="I15" s="59">
        <v>13293</v>
      </c>
      <c r="J15" s="59">
        <v>1401.7</v>
      </c>
      <c r="K15" s="59">
        <v>3238.5</v>
      </c>
      <c r="L15" s="41"/>
      <c r="N15" s="59">
        <v>10185</v>
      </c>
      <c r="O15" s="60">
        <v>69405</v>
      </c>
      <c r="P15" s="61"/>
      <c r="U15" s="60">
        <f t="shared" si="2"/>
        <v>69405</v>
      </c>
      <c r="W15" s="60">
        <f t="shared" si="0"/>
        <v>18623</v>
      </c>
      <c r="X15" s="60">
        <f t="shared" si="1"/>
        <v>1080.5</v>
      </c>
      <c r="Y15" s="60">
        <f t="shared" si="1"/>
        <v>3704</v>
      </c>
      <c r="Z15" s="60">
        <f t="shared" si="1"/>
        <v>4476</v>
      </c>
      <c r="AA15" s="60">
        <f t="shared" si="1"/>
        <v>11338</v>
      </c>
      <c r="AB15" s="60">
        <f t="shared" si="1"/>
        <v>4014</v>
      </c>
      <c r="AC15" s="60">
        <f t="shared" si="1"/>
        <v>3772</v>
      </c>
      <c r="AD15" s="60">
        <f t="shared" si="1"/>
        <v>13293</v>
      </c>
      <c r="AE15" s="60">
        <f t="shared" si="1"/>
        <v>1401.7</v>
      </c>
      <c r="AF15" s="60">
        <f t="shared" si="1"/>
        <v>3238.5</v>
      </c>
      <c r="AG15" s="60">
        <f t="shared" si="1"/>
        <v>0</v>
      </c>
      <c r="AH15" s="60">
        <f t="shared" si="1"/>
        <v>0</v>
      </c>
      <c r="AI15" s="60">
        <f t="shared" si="1"/>
        <v>10185</v>
      </c>
    </row>
    <row r="16" spans="1:35" ht="12.75">
      <c r="A16" s="62">
        <v>1972</v>
      </c>
      <c r="B16" s="59">
        <v>19151</v>
      </c>
      <c r="C16" s="59">
        <v>1094</v>
      </c>
      <c r="D16" s="59">
        <v>3889</v>
      </c>
      <c r="E16" s="59">
        <v>4541</v>
      </c>
      <c r="F16" s="59">
        <v>11822</v>
      </c>
      <c r="G16" s="59">
        <v>4127</v>
      </c>
      <c r="H16" s="59">
        <v>3908</v>
      </c>
      <c r="I16" s="59">
        <v>13737.9</v>
      </c>
      <c r="J16" s="59">
        <v>1490.5</v>
      </c>
      <c r="K16" s="59">
        <v>3411.9</v>
      </c>
      <c r="L16" s="41">
        <v>1402.7</v>
      </c>
      <c r="M16" s="60">
        <v>7432.8</v>
      </c>
      <c r="N16" s="59">
        <v>10649</v>
      </c>
      <c r="O16" s="60">
        <v>71824.9</v>
      </c>
      <c r="P16" s="60">
        <v>0</v>
      </c>
      <c r="U16" s="60">
        <f t="shared" si="2"/>
        <v>71824.9</v>
      </c>
      <c r="W16" s="60">
        <f t="shared" si="0"/>
        <v>19151</v>
      </c>
      <c r="X16" s="60">
        <f t="shared" si="1"/>
        <v>1094</v>
      </c>
      <c r="Y16" s="60">
        <f t="shared" si="1"/>
        <v>3889</v>
      </c>
      <c r="Z16" s="60">
        <f t="shared" si="1"/>
        <v>4541</v>
      </c>
      <c r="AA16" s="60">
        <f t="shared" si="1"/>
        <v>11822</v>
      </c>
      <c r="AB16" s="60">
        <f t="shared" si="1"/>
        <v>4127</v>
      </c>
      <c r="AC16" s="60">
        <f t="shared" si="1"/>
        <v>3908</v>
      </c>
      <c r="AD16" s="60">
        <f t="shared" si="1"/>
        <v>13737.9</v>
      </c>
      <c r="AE16" s="60">
        <f t="shared" si="1"/>
        <v>1490.5</v>
      </c>
      <c r="AF16" s="60">
        <f t="shared" si="1"/>
        <v>3411.9</v>
      </c>
      <c r="AG16" s="60">
        <f t="shared" si="1"/>
        <v>1402.7</v>
      </c>
      <c r="AH16" s="60">
        <f t="shared" si="1"/>
        <v>7432.8</v>
      </c>
      <c r="AI16" s="60">
        <f t="shared" si="1"/>
        <v>10649</v>
      </c>
    </row>
    <row r="17" spans="1:35" ht="12.75">
      <c r="A17" s="62">
        <v>1973</v>
      </c>
      <c r="B17" s="59">
        <v>20154</v>
      </c>
      <c r="C17" s="59">
        <v>1110.7</v>
      </c>
      <c r="D17" s="59">
        <v>4097</v>
      </c>
      <c r="E17" s="59">
        <v>4656</v>
      </c>
      <c r="F17" s="59">
        <v>12315</v>
      </c>
      <c r="G17" s="59">
        <v>4291</v>
      </c>
      <c r="H17" s="59">
        <v>4046</v>
      </c>
      <c r="I17" s="59">
        <v>14195.8</v>
      </c>
      <c r="J17" s="59">
        <v>1609.5</v>
      </c>
      <c r="K17" s="59">
        <v>3640.8</v>
      </c>
      <c r="L17" s="41">
        <v>1410.3</v>
      </c>
      <c r="M17" s="60">
        <v>7535.2</v>
      </c>
      <c r="N17" s="59">
        <v>11068</v>
      </c>
      <c r="O17" s="60">
        <v>74822.8</v>
      </c>
      <c r="P17" s="60">
        <v>0</v>
      </c>
      <c r="U17" s="60">
        <f t="shared" si="2"/>
        <v>74822.8</v>
      </c>
      <c r="W17" s="60">
        <f t="shared" si="0"/>
        <v>20154</v>
      </c>
      <c r="X17" s="60">
        <f t="shared" si="1"/>
        <v>1110.7</v>
      </c>
      <c r="Y17" s="60">
        <f t="shared" si="1"/>
        <v>4097</v>
      </c>
      <c r="Z17" s="60">
        <f t="shared" si="1"/>
        <v>4656</v>
      </c>
      <c r="AA17" s="60">
        <f t="shared" si="1"/>
        <v>12315</v>
      </c>
      <c r="AB17" s="60">
        <f t="shared" si="1"/>
        <v>4291</v>
      </c>
      <c r="AC17" s="60">
        <f t="shared" si="1"/>
        <v>4046</v>
      </c>
      <c r="AD17" s="60">
        <f t="shared" si="1"/>
        <v>14195.8</v>
      </c>
      <c r="AE17" s="60">
        <f t="shared" si="1"/>
        <v>1609.5</v>
      </c>
      <c r="AF17" s="60">
        <f t="shared" si="1"/>
        <v>3640.8</v>
      </c>
      <c r="AG17" s="60">
        <f t="shared" si="1"/>
        <v>1410.3</v>
      </c>
      <c r="AH17" s="60">
        <f t="shared" si="1"/>
        <v>7535.2</v>
      </c>
      <c r="AI17" s="60">
        <f t="shared" si="1"/>
        <v>11068</v>
      </c>
    </row>
    <row r="18" spans="1:35" ht="12.75">
      <c r="A18" s="62">
        <v>1974</v>
      </c>
      <c r="B18" s="59">
        <v>20078</v>
      </c>
      <c r="C18" s="59">
        <v>1111.3</v>
      </c>
      <c r="D18" s="59">
        <v>4020</v>
      </c>
      <c r="E18" s="59">
        <v>4725</v>
      </c>
      <c r="F18" s="59">
        <v>12539</v>
      </c>
      <c r="G18" s="59">
        <v>4447</v>
      </c>
      <c r="H18" s="59">
        <v>4148</v>
      </c>
      <c r="I18" s="59">
        <v>14616</v>
      </c>
      <c r="J18" s="59">
        <v>1685.8</v>
      </c>
      <c r="K18" s="59">
        <v>3886.7</v>
      </c>
      <c r="L18" s="41">
        <v>1437.9</v>
      </c>
      <c r="M18" s="60">
        <v>7605.6</v>
      </c>
      <c r="N18" s="59">
        <v>11446</v>
      </c>
      <c r="O18" s="60">
        <v>76019</v>
      </c>
      <c r="P18" s="60">
        <v>0</v>
      </c>
      <c r="U18" s="60">
        <f t="shared" si="2"/>
        <v>76019</v>
      </c>
      <c r="W18" s="60">
        <f t="shared" si="0"/>
        <v>20078</v>
      </c>
      <c r="X18" s="60">
        <f aca="true" t="shared" si="3" ref="X18:X54">C18</f>
        <v>1111.3</v>
      </c>
      <c r="Y18" s="60">
        <f aca="true" t="shared" si="4" ref="Y18:Y54">D18</f>
        <v>4020</v>
      </c>
      <c r="Z18" s="60">
        <f aca="true" t="shared" si="5" ref="Z18:Z54">E18</f>
        <v>4725</v>
      </c>
      <c r="AA18" s="60">
        <f aca="true" t="shared" si="6" ref="AA18:AA54">F18</f>
        <v>12539</v>
      </c>
      <c r="AB18" s="60">
        <f aca="true" t="shared" si="7" ref="AB18:AB54">G18</f>
        <v>4447</v>
      </c>
      <c r="AC18" s="60">
        <f aca="true" t="shared" si="8" ref="AC18:AC54">H18</f>
        <v>4148</v>
      </c>
      <c r="AD18" s="60">
        <f aca="true" t="shared" si="9" ref="AD18:AD54">I18</f>
        <v>14616</v>
      </c>
      <c r="AE18" s="60">
        <f aca="true" t="shared" si="10" ref="AE18:AE54">J18</f>
        <v>1685.8</v>
      </c>
      <c r="AF18" s="60">
        <f aca="true" t="shared" si="11" ref="AF18:AF54">K18</f>
        <v>3886.7</v>
      </c>
      <c r="AG18" s="60">
        <f aca="true" t="shared" si="12" ref="AG18:AG54">L18</f>
        <v>1437.9</v>
      </c>
      <c r="AH18" s="60">
        <f aca="true" t="shared" si="13" ref="AH18:AH54">M18</f>
        <v>7605.6</v>
      </c>
      <c r="AI18" s="60">
        <f aca="true" t="shared" si="14" ref="AI18:AI54">N18</f>
        <v>11446</v>
      </c>
    </row>
    <row r="19" spans="1:35" ht="12.75">
      <c r="A19" s="62">
        <v>1975</v>
      </c>
      <c r="B19" s="59">
        <v>18318.8</v>
      </c>
      <c r="C19" s="59">
        <v>1083.5</v>
      </c>
      <c r="D19" s="59">
        <v>3525</v>
      </c>
      <c r="E19" s="59">
        <v>4541.9</v>
      </c>
      <c r="F19" s="59">
        <v>12629.6</v>
      </c>
      <c r="G19" s="59">
        <v>4429.7</v>
      </c>
      <c r="H19" s="59">
        <v>4165.7</v>
      </c>
      <c r="I19" s="59">
        <v>14981.3</v>
      </c>
      <c r="J19" s="59">
        <v>1697.2</v>
      </c>
      <c r="K19" s="59">
        <v>4133.8</v>
      </c>
      <c r="L19" s="41">
        <v>1452.3</v>
      </c>
      <c r="M19" s="63">
        <v>7698</v>
      </c>
      <c r="N19" s="59">
        <v>11937</v>
      </c>
      <c r="O19" s="60">
        <v>74529</v>
      </c>
      <c r="P19" s="60">
        <v>0</v>
      </c>
      <c r="U19" s="60">
        <f t="shared" si="2"/>
        <v>74529</v>
      </c>
      <c r="W19" s="60">
        <f t="shared" si="0"/>
        <v>18318.8</v>
      </c>
      <c r="X19" s="60">
        <f t="shared" si="3"/>
        <v>1083.5</v>
      </c>
      <c r="Y19" s="60">
        <f t="shared" si="4"/>
        <v>3525</v>
      </c>
      <c r="Z19" s="60">
        <f t="shared" si="5"/>
        <v>4541.9</v>
      </c>
      <c r="AA19" s="60">
        <f t="shared" si="6"/>
        <v>12629.6</v>
      </c>
      <c r="AB19" s="60">
        <f t="shared" si="7"/>
        <v>4429.7</v>
      </c>
      <c r="AC19" s="60">
        <f t="shared" si="8"/>
        <v>4165.7</v>
      </c>
      <c r="AD19" s="60">
        <f t="shared" si="9"/>
        <v>14981.3</v>
      </c>
      <c r="AE19" s="60">
        <f t="shared" si="10"/>
        <v>1697.2</v>
      </c>
      <c r="AF19" s="60">
        <f t="shared" si="11"/>
        <v>4133.8</v>
      </c>
      <c r="AG19" s="60">
        <f t="shared" si="12"/>
        <v>1452.3</v>
      </c>
      <c r="AH19" s="60">
        <f t="shared" si="13"/>
        <v>7698</v>
      </c>
      <c r="AI19" s="60">
        <f t="shared" si="14"/>
        <v>11937</v>
      </c>
    </row>
    <row r="20" spans="1:35" ht="12.75">
      <c r="A20" s="62">
        <v>1976</v>
      </c>
      <c r="B20" s="59">
        <v>18997.1</v>
      </c>
      <c r="C20" s="59">
        <v>1099.2</v>
      </c>
      <c r="D20" s="59">
        <v>3576</v>
      </c>
      <c r="E20" s="59">
        <v>4582.4</v>
      </c>
      <c r="F20" s="59">
        <v>13195.7</v>
      </c>
      <c r="G20" s="59">
        <v>4561.4</v>
      </c>
      <c r="H20" s="59">
        <v>4263.2</v>
      </c>
      <c r="I20" s="59">
        <v>15622.5</v>
      </c>
      <c r="J20" s="59">
        <v>1805.9</v>
      </c>
      <c r="K20" s="59">
        <v>4350.4</v>
      </c>
      <c r="L20" s="41">
        <v>1486.8</v>
      </c>
      <c r="M20" s="63">
        <v>7979.4</v>
      </c>
      <c r="N20" s="59">
        <v>12138</v>
      </c>
      <c r="O20" s="60">
        <v>76936.3</v>
      </c>
      <c r="P20" s="60">
        <v>0</v>
      </c>
      <c r="U20" s="60">
        <f t="shared" si="2"/>
        <v>76936.3</v>
      </c>
      <c r="W20" s="60">
        <f t="shared" si="0"/>
        <v>18997.1</v>
      </c>
      <c r="X20" s="60">
        <f t="shared" si="3"/>
        <v>1099.2</v>
      </c>
      <c r="Y20" s="60">
        <f t="shared" si="4"/>
        <v>3576</v>
      </c>
      <c r="Z20" s="60">
        <f t="shared" si="5"/>
        <v>4582.4</v>
      </c>
      <c r="AA20" s="60">
        <f t="shared" si="6"/>
        <v>13195.7</v>
      </c>
      <c r="AB20" s="60">
        <f t="shared" si="7"/>
        <v>4561.4</v>
      </c>
      <c r="AC20" s="60">
        <f t="shared" si="8"/>
        <v>4263.2</v>
      </c>
      <c r="AD20" s="60">
        <f t="shared" si="9"/>
        <v>15622.5</v>
      </c>
      <c r="AE20" s="60">
        <f t="shared" si="10"/>
        <v>1805.9</v>
      </c>
      <c r="AF20" s="60">
        <f t="shared" si="11"/>
        <v>4350.4</v>
      </c>
      <c r="AG20" s="60">
        <f t="shared" si="12"/>
        <v>1486.8</v>
      </c>
      <c r="AH20" s="60">
        <f t="shared" si="13"/>
        <v>7979.4</v>
      </c>
      <c r="AI20" s="60">
        <f t="shared" si="14"/>
        <v>12138</v>
      </c>
    </row>
    <row r="21" spans="1:35" ht="12.75">
      <c r="A21" s="62">
        <v>1977</v>
      </c>
      <c r="B21" s="59">
        <v>19682.9</v>
      </c>
      <c r="C21" s="59">
        <v>1141.3</v>
      </c>
      <c r="D21" s="59">
        <v>3851</v>
      </c>
      <c r="E21" s="59">
        <v>4713</v>
      </c>
      <c r="F21" s="59">
        <v>13795.4</v>
      </c>
      <c r="G21" s="59">
        <v>4722.9</v>
      </c>
      <c r="H21" s="59">
        <v>4460.6</v>
      </c>
      <c r="I21" s="59">
        <v>16388.6</v>
      </c>
      <c r="J21" s="59">
        <v>1957.6</v>
      </c>
      <c r="K21" s="59">
        <v>4584</v>
      </c>
      <c r="L21" s="41">
        <v>1495.4</v>
      </c>
      <c r="M21" s="63">
        <v>8351.6</v>
      </c>
      <c r="N21" s="59">
        <v>12399</v>
      </c>
      <c r="O21" s="60">
        <v>80013.4</v>
      </c>
      <c r="P21" s="60">
        <v>0</v>
      </c>
      <c r="U21" s="60">
        <f t="shared" si="2"/>
        <v>80013.4</v>
      </c>
      <c r="W21" s="60">
        <f t="shared" si="0"/>
        <v>19682.9</v>
      </c>
      <c r="X21" s="60">
        <f t="shared" si="3"/>
        <v>1141.3</v>
      </c>
      <c r="Y21" s="60">
        <f t="shared" si="4"/>
        <v>3851</v>
      </c>
      <c r="Z21" s="60">
        <f t="shared" si="5"/>
        <v>4713</v>
      </c>
      <c r="AA21" s="60">
        <f t="shared" si="6"/>
        <v>13795.4</v>
      </c>
      <c r="AB21" s="60">
        <f t="shared" si="7"/>
        <v>4722.9</v>
      </c>
      <c r="AC21" s="60">
        <f t="shared" si="8"/>
        <v>4460.6</v>
      </c>
      <c r="AD21" s="60">
        <f t="shared" si="9"/>
        <v>16388.6</v>
      </c>
      <c r="AE21" s="60">
        <f t="shared" si="10"/>
        <v>1957.6</v>
      </c>
      <c r="AF21" s="60">
        <f t="shared" si="11"/>
        <v>4584</v>
      </c>
      <c r="AG21" s="60">
        <f t="shared" si="12"/>
        <v>1495.4</v>
      </c>
      <c r="AH21" s="60">
        <f t="shared" si="13"/>
        <v>8351.6</v>
      </c>
      <c r="AI21" s="60">
        <f t="shared" si="14"/>
        <v>12399</v>
      </c>
    </row>
    <row r="22" spans="1:35" ht="12.75">
      <c r="A22" s="62">
        <v>1978</v>
      </c>
      <c r="B22" s="59">
        <v>20505.7</v>
      </c>
      <c r="C22" s="59">
        <v>1192.1</v>
      </c>
      <c r="D22" s="59">
        <v>4229</v>
      </c>
      <c r="E22" s="59">
        <v>4922.8</v>
      </c>
      <c r="F22" s="59">
        <v>14559.7</v>
      </c>
      <c r="G22" s="59">
        <v>4985.2</v>
      </c>
      <c r="H22" s="59">
        <v>4717.3</v>
      </c>
      <c r="I22" s="59">
        <v>17313.1</v>
      </c>
      <c r="J22" s="59">
        <v>2180.5</v>
      </c>
      <c r="K22" s="59">
        <v>4791.7</v>
      </c>
      <c r="L22" s="41">
        <v>1501.7</v>
      </c>
      <c r="M22" s="63">
        <v>8839.2</v>
      </c>
      <c r="N22" s="59">
        <v>12919</v>
      </c>
      <c r="O22" s="60">
        <v>84151.8</v>
      </c>
      <c r="P22" s="60">
        <v>0</v>
      </c>
      <c r="U22" s="60">
        <f t="shared" si="2"/>
        <v>84151.8</v>
      </c>
      <c r="W22" s="60">
        <f t="shared" si="0"/>
        <v>20505.7</v>
      </c>
      <c r="X22" s="60">
        <f t="shared" si="3"/>
        <v>1192.1</v>
      </c>
      <c r="Y22" s="60">
        <f t="shared" si="4"/>
        <v>4229</v>
      </c>
      <c r="Z22" s="60">
        <f t="shared" si="5"/>
        <v>4922.8</v>
      </c>
      <c r="AA22" s="60">
        <f t="shared" si="6"/>
        <v>14559.7</v>
      </c>
      <c r="AB22" s="60">
        <f t="shared" si="7"/>
        <v>4985.2</v>
      </c>
      <c r="AC22" s="60">
        <f t="shared" si="8"/>
        <v>4717.3</v>
      </c>
      <c r="AD22" s="60">
        <f t="shared" si="9"/>
        <v>17313.1</v>
      </c>
      <c r="AE22" s="60">
        <f t="shared" si="10"/>
        <v>2180.5</v>
      </c>
      <c r="AF22" s="60">
        <f t="shared" si="11"/>
        <v>4791.7</v>
      </c>
      <c r="AG22" s="60">
        <f t="shared" si="12"/>
        <v>1501.7</v>
      </c>
      <c r="AH22" s="60">
        <f t="shared" si="13"/>
        <v>8839.2</v>
      </c>
      <c r="AI22" s="60">
        <f t="shared" si="14"/>
        <v>12919</v>
      </c>
    </row>
    <row r="23" spans="1:35" ht="12.75">
      <c r="A23" s="62">
        <v>1979</v>
      </c>
      <c r="B23" s="59">
        <v>21041</v>
      </c>
      <c r="C23" s="59">
        <v>1235</v>
      </c>
      <c r="D23" s="59">
        <v>4463</v>
      </c>
      <c r="E23" s="59">
        <v>5135.8</v>
      </c>
      <c r="F23" s="59">
        <v>14973.5</v>
      </c>
      <c r="G23" s="59">
        <v>5220.6</v>
      </c>
      <c r="H23" s="59">
        <v>4968.5</v>
      </c>
      <c r="I23" s="59">
        <v>18042.9</v>
      </c>
      <c r="J23" s="59">
        <v>2410.1</v>
      </c>
      <c r="K23" s="59">
        <v>4992.8</v>
      </c>
      <c r="L23" s="41">
        <v>1516.3</v>
      </c>
      <c r="M23" s="63">
        <v>9123.7</v>
      </c>
      <c r="N23" s="59">
        <v>13174</v>
      </c>
      <c r="O23" s="60">
        <v>87019.3</v>
      </c>
      <c r="P23" s="60">
        <v>0</v>
      </c>
      <c r="U23" s="60">
        <f t="shared" si="2"/>
        <v>87019.3</v>
      </c>
      <c r="W23" s="60">
        <f t="shared" si="0"/>
        <v>21041</v>
      </c>
      <c r="X23" s="60">
        <f t="shared" si="3"/>
        <v>1235</v>
      </c>
      <c r="Y23" s="60">
        <f t="shared" si="4"/>
        <v>4463</v>
      </c>
      <c r="Z23" s="60">
        <f t="shared" si="5"/>
        <v>5135.8</v>
      </c>
      <c r="AA23" s="60">
        <f t="shared" si="6"/>
        <v>14973.5</v>
      </c>
      <c r="AB23" s="60">
        <f t="shared" si="7"/>
        <v>5220.6</v>
      </c>
      <c r="AC23" s="60">
        <f t="shared" si="8"/>
        <v>4968.5</v>
      </c>
      <c r="AD23" s="60">
        <f t="shared" si="9"/>
        <v>18042.9</v>
      </c>
      <c r="AE23" s="60">
        <f t="shared" si="10"/>
        <v>2410.1</v>
      </c>
      <c r="AF23" s="60">
        <f t="shared" si="11"/>
        <v>4992.8</v>
      </c>
      <c r="AG23" s="60">
        <f t="shared" si="12"/>
        <v>1516.3</v>
      </c>
      <c r="AH23" s="60">
        <f t="shared" si="13"/>
        <v>9123.7</v>
      </c>
      <c r="AI23" s="60">
        <f t="shared" si="14"/>
        <v>13174</v>
      </c>
    </row>
    <row r="24" spans="1:35" ht="12.75">
      <c r="A24" s="62">
        <v>1980</v>
      </c>
      <c r="B24" s="59">
        <v>20286.6</v>
      </c>
      <c r="C24" s="59">
        <v>1252.2</v>
      </c>
      <c r="D24" s="59">
        <v>4346</v>
      </c>
      <c r="E24" s="59">
        <v>5146.4</v>
      </c>
      <c r="F24" s="59">
        <v>15021.6</v>
      </c>
      <c r="G24" s="59">
        <v>5292.5</v>
      </c>
      <c r="H24" s="59">
        <v>5151.6</v>
      </c>
      <c r="I24" s="59">
        <v>18718.8</v>
      </c>
      <c r="J24" s="59">
        <v>2563.5</v>
      </c>
      <c r="K24" s="59">
        <v>5278</v>
      </c>
      <c r="L24" s="41">
        <v>1539.4</v>
      </c>
      <c r="M24" s="63">
        <v>9337.9</v>
      </c>
      <c r="N24" s="59">
        <v>13375</v>
      </c>
      <c r="O24" s="60">
        <v>87338.5</v>
      </c>
      <c r="P24" s="60">
        <v>0</v>
      </c>
      <c r="U24" s="60">
        <f t="shared" si="2"/>
        <v>87338.5</v>
      </c>
      <c r="W24" s="60">
        <f t="shared" si="0"/>
        <v>20286.6</v>
      </c>
      <c r="X24" s="60">
        <f t="shared" si="3"/>
        <v>1252.2</v>
      </c>
      <c r="Y24" s="60">
        <f t="shared" si="4"/>
        <v>4346</v>
      </c>
      <c r="Z24" s="60">
        <f t="shared" si="5"/>
        <v>5146.4</v>
      </c>
      <c r="AA24" s="60">
        <f t="shared" si="6"/>
        <v>15021.6</v>
      </c>
      <c r="AB24" s="60">
        <f t="shared" si="7"/>
        <v>5292.5</v>
      </c>
      <c r="AC24" s="60">
        <f t="shared" si="8"/>
        <v>5151.6</v>
      </c>
      <c r="AD24" s="60">
        <f t="shared" si="9"/>
        <v>18718.8</v>
      </c>
      <c r="AE24" s="60">
        <f t="shared" si="10"/>
        <v>2563.5</v>
      </c>
      <c r="AF24" s="60">
        <f t="shared" si="11"/>
        <v>5278</v>
      </c>
      <c r="AG24" s="60">
        <f t="shared" si="12"/>
        <v>1539.4</v>
      </c>
      <c r="AH24" s="60">
        <f t="shared" si="13"/>
        <v>9337.9</v>
      </c>
      <c r="AI24" s="60">
        <f t="shared" si="14"/>
        <v>13375</v>
      </c>
    </row>
    <row r="25" spans="1:35" ht="12.75">
      <c r="A25" s="62">
        <v>1981</v>
      </c>
      <c r="B25" s="59">
        <v>20171</v>
      </c>
      <c r="C25" s="59">
        <v>1266.2</v>
      </c>
      <c r="D25" s="59">
        <v>4188</v>
      </c>
      <c r="E25" s="59">
        <v>5164.6</v>
      </c>
      <c r="F25" s="59">
        <v>15170.1</v>
      </c>
      <c r="G25" s="59">
        <v>5375.3</v>
      </c>
      <c r="H25" s="59">
        <v>5294.4</v>
      </c>
      <c r="I25" s="59">
        <v>19386.7</v>
      </c>
      <c r="J25" s="59">
        <v>2699.6</v>
      </c>
      <c r="K25" s="59">
        <v>5562.1</v>
      </c>
      <c r="L25" s="41">
        <v>1527.3</v>
      </c>
      <c r="M25" s="63">
        <v>9597.7</v>
      </c>
      <c r="N25" s="59">
        <v>13259</v>
      </c>
      <c r="O25" s="60">
        <v>88009.1</v>
      </c>
      <c r="P25" s="60">
        <v>0</v>
      </c>
      <c r="U25" s="60">
        <f t="shared" si="2"/>
        <v>88009.1</v>
      </c>
      <c r="W25" s="60">
        <f t="shared" si="0"/>
        <v>20171</v>
      </c>
      <c r="X25" s="60">
        <f t="shared" si="3"/>
        <v>1266.2</v>
      </c>
      <c r="Y25" s="60">
        <f t="shared" si="4"/>
        <v>4188</v>
      </c>
      <c r="Z25" s="60">
        <f t="shared" si="5"/>
        <v>5164.6</v>
      </c>
      <c r="AA25" s="60">
        <f t="shared" si="6"/>
        <v>15170.1</v>
      </c>
      <c r="AB25" s="60">
        <f t="shared" si="7"/>
        <v>5375.3</v>
      </c>
      <c r="AC25" s="60">
        <f t="shared" si="8"/>
        <v>5294.4</v>
      </c>
      <c r="AD25" s="60">
        <f t="shared" si="9"/>
        <v>19386.7</v>
      </c>
      <c r="AE25" s="60">
        <f t="shared" si="10"/>
        <v>2699.6</v>
      </c>
      <c r="AF25" s="60">
        <f t="shared" si="11"/>
        <v>5562.1</v>
      </c>
      <c r="AG25" s="60">
        <f t="shared" si="12"/>
        <v>1527.3</v>
      </c>
      <c r="AH25" s="60">
        <f t="shared" si="13"/>
        <v>9597.7</v>
      </c>
      <c r="AI25" s="60">
        <f t="shared" si="14"/>
        <v>13259</v>
      </c>
    </row>
    <row r="26" spans="1:35" ht="12.75">
      <c r="A26" s="62">
        <v>1982</v>
      </c>
      <c r="B26" s="59">
        <v>18776.6</v>
      </c>
      <c r="C26" s="59">
        <v>1271.9</v>
      </c>
      <c r="D26" s="59">
        <v>3904</v>
      </c>
      <c r="E26" s="59">
        <v>5081.5</v>
      </c>
      <c r="F26" s="59">
        <v>15158.1</v>
      </c>
      <c r="G26" s="59">
        <v>5294.5</v>
      </c>
      <c r="H26" s="59">
        <v>5340.2</v>
      </c>
      <c r="I26" s="59">
        <v>19776.8</v>
      </c>
      <c r="J26" s="59">
        <v>2722.2</v>
      </c>
      <c r="K26" s="59">
        <v>5810.8</v>
      </c>
      <c r="L26" s="41">
        <v>1525.4</v>
      </c>
      <c r="M26" s="63">
        <v>9718.4</v>
      </c>
      <c r="N26" s="59">
        <v>13098</v>
      </c>
      <c r="O26" s="60">
        <v>86429.7</v>
      </c>
      <c r="P26" s="60">
        <v>0</v>
      </c>
      <c r="U26" s="60">
        <f t="shared" si="2"/>
        <v>86429.7</v>
      </c>
      <c r="W26" s="60">
        <f t="shared" si="0"/>
        <v>18776.6</v>
      </c>
      <c r="X26" s="60">
        <f t="shared" si="3"/>
        <v>1271.9</v>
      </c>
      <c r="Y26" s="60">
        <f t="shared" si="4"/>
        <v>3904</v>
      </c>
      <c r="Z26" s="60">
        <f t="shared" si="5"/>
        <v>5081.5</v>
      </c>
      <c r="AA26" s="60">
        <f t="shared" si="6"/>
        <v>15158.1</v>
      </c>
      <c r="AB26" s="60">
        <f t="shared" si="7"/>
        <v>5294.5</v>
      </c>
      <c r="AC26" s="60">
        <f t="shared" si="8"/>
        <v>5340.2</v>
      </c>
      <c r="AD26" s="60">
        <f t="shared" si="9"/>
        <v>19776.8</v>
      </c>
      <c r="AE26" s="60">
        <f t="shared" si="10"/>
        <v>2722.2</v>
      </c>
      <c r="AF26" s="60">
        <f t="shared" si="11"/>
        <v>5810.8</v>
      </c>
      <c r="AG26" s="60">
        <f t="shared" si="12"/>
        <v>1525.4</v>
      </c>
      <c r="AH26" s="60">
        <f t="shared" si="13"/>
        <v>9718.4</v>
      </c>
      <c r="AI26" s="60">
        <f t="shared" si="14"/>
        <v>13098</v>
      </c>
    </row>
    <row r="27" spans="1:35" ht="12.75">
      <c r="A27" s="62">
        <v>1983</v>
      </c>
      <c r="B27" s="59">
        <v>18429.6</v>
      </c>
      <c r="C27" s="59">
        <v>1298.3</v>
      </c>
      <c r="D27" s="59">
        <v>3946</v>
      </c>
      <c r="E27" s="59">
        <v>4952.3</v>
      </c>
      <c r="F27" s="59">
        <v>15587.2</v>
      </c>
      <c r="G27" s="59">
        <v>5283.3</v>
      </c>
      <c r="H27" s="59">
        <v>5465.5</v>
      </c>
      <c r="I27" s="59">
        <v>20489.2</v>
      </c>
      <c r="J27" s="59">
        <v>2948</v>
      </c>
      <c r="K27" s="59">
        <v>5986.2</v>
      </c>
      <c r="L27" s="41">
        <v>1509.8</v>
      </c>
      <c r="M27" s="63">
        <v>10045.2</v>
      </c>
      <c r="N27" s="59">
        <v>13096</v>
      </c>
      <c r="O27" s="60">
        <v>87249.1</v>
      </c>
      <c r="P27" s="60">
        <v>0</v>
      </c>
      <c r="U27" s="60">
        <f t="shared" si="2"/>
        <v>87249.1</v>
      </c>
      <c r="W27" s="60">
        <f t="shared" si="0"/>
        <v>18429.6</v>
      </c>
      <c r="X27" s="60">
        <f t="shared" si="3"/>
        <v>1298.3</v>
      </c>
      <c r="Y27" s="60">
        <f t="shared" si="4"/>
        <v>3946</v>
      </c>
      <c r="Z27" s="60">
        <f t="shared" si="5"/>
        <v>4952.3</v>
      </c>
      <c r="AA27" s="60">
        <f t="shared" si="6"/>
        <v>15587.2</v>
      </c>
      <c r="AB27" s="60">
        <f t="shared" si="7"/>
        <v>5283.3</v>
      </c>
      <c r="AC27" s="60">
        <f t="shared" si="8"/>
        <v>5465.5</v>
      </c>
      <c r="AD27" s="60">
        <f t="shared" si="9"/>
        <v>20489.2</v>
      </c>
      <c r="AE27" s="60">
        <f t="shared" si="10"/>
        <v>2948</v>
      </c>
      <c r="AF27" s="60">
        <f t="shared" si="11"/>
        <v>5986.2</v>
      </c>
      <c r="AG27" s="60">
        <f t="shared" si="12"/>
        <v>1509.8</v>
      </c>
      <c r="AH27" s="60">
        <f t="shared" si="13"/>
        <v>10045.2</v>
      </c>
      <c r="AI27" s="60">
        <f t="shared" si="14"/>
        <v>13096</v>
      </c>
    </row>
    <row r="28" spans="1:35" ht="12.75">
      <c r="A28" s="62">
        <v>1984</v>
      </c>
      <c r="B28" s="59">
        <v>19369.7</v>
      </c>
      <c r="C28" s="59">
        <v>1375.3</v>
      </c>
      <c r="D28" s="59">
        <v>4380</v>
      </c>
      <c r="E28" s="59">
        <v>5155.8</v>
      </c>
      <c r="F28" s="59">
        <v>16512</v>
      </c>
      <c r="G28" s="59">
        <v>5567.8</v>
      </c>
      <c r="H28" s="59">
        <v>5683.4</v>
      </c>
      <c r="I28" s="59">
        <v>21517.1</v>
      </c>
      <c r="J28" s="59">
        <v>3352.7</v>
      </c>
      <c r="K28" s="59">
        <v>6118.3</v>
      </c>
      <c r="L28" s="41">
        <v>1504</v>
      </c>
      <c r="M28" s="63">
        <v>10542.1</v>
      </c>
      <c r="N28" s="59">
        <v>13216</v>
      </c>
      <c r="O28" s="60">
        <v>91401.8</v>
      </c>
      <c r="P28" s="60">
        <v>0</v>
      </c>
      <c r="U28" s="60">
        <f t="shared" si="2"/>
        <v>91401.8</v>
      </c>
      <c r="W28" s="60">
        <f t="shared" si="0"/>
        <v>19369.7</v>
      </c>
      <c r="X28" s="60">
        <f t="shared" si="3"/>
        <v>1375.3</v>
      </c>
      <c r="Y28" s="60">
        <f t="shared" si="4"/>
        <v>4380</v>
      </c>
      <c r="Z28" s="60">
        <f t="shared" si="5"/>
        <v>5155.8</v>
      </c>
      <c r="AA28" s="60">
        <f t="shared" si="6"/>
        <v>16512</v>
      </c>
      <c r="AB28" s="60">
        <f t="shared" si="7"/>
        <v>5567.8</v>
      </c>
      <c r="AC28" s="60">
        <f t="shared" si="8"/>
        <v>5683.4</v>
      </c>
      <c r="AD28" s="60">
        <f t="shared" si="9"/>
        <v>21517.1</v>
      </c>
      <c r="AE28" s="60">
        <f t="shared" si="10"/>
        <v>3352.7</v>
      </c>
      <c r="AF28" s="60">
        <f t="shared" si="11"/>
        <v>6118.3</v>
      </c>
      <c r="AG28" s="60">
        <f t="shared" si="12"/>
        <v>1504</v>
      </c>
      <c r="AH28" s="60">
        <f t="shared" si="13"/>
        <v>10542.1</v>
      </c>
      <c r="AI28" s="60">
        <f t="shared" si="14"/>
        <v>13216</v>
      </c>
    </row>
    <row r="29" spans="1:35" ht="12.75">
      <c r="A29" s="62">
        <v>1985</v>
      </c>
      <c r="B29" s="59">
        <v>19250</v>
      </c>
      <c r="C29" s="59">
        <v>1426</v>
      </c>
      <c r="D29" s="59">
        <v>4668</v>
      </c>
      <c r="E29" s="59">
        <v>5232</v>
      </c>
      <c r="F29" s="59">
        <v>17313</v>
      </c>
      <c r="G29" s="59">
        <v>5734.9</v>
      </c>
      <c r="H29" s="59">
        <v>5949.7</v>
      </c>
      <c r="I29" s="59">
        <v>22606.5</v>
      </c>
      <c r="J29" s="59">
        <v>3649.4</v>
      </c>
      <c r="K29" s="59">
        <v>6292.8</v>
      </c>
      <c r="L29" s="41">
        <v>1517.1</v>
      </c>
      <c r="M29" s="63">
        <v>11147.2</v>
      </c>
      <c r="N29" s="59">
        <v>13519</v>
      </c>
      <c r="O29" s="60">
        <v>94273.1</v>
      </c>
      <c r="P29" s="60">
        <v>0</v>
      </c>
      <c r="U29" s="60">
        <f t="shared" si="2"/>
        <v>94273.1</v>
      </c>
      <c r="W29" s="60">
        <f t="shared" si="0"/>
        <v>19250</v>
      </c>
      <c r="X29" s="60">
        <f t="shared" si="3"/>
        <v>1426</v>
      </c>
      <c r="Y29" s="60">
        <f t="shared" si="4"/>
        <v>4668</v>
      </c>
      <c r="Z29" s="60">
        <f t="shared" si="5"/>
        <v>5232</v>
      </c>
      <c r="AA29" s="60">
        <f t="shared" si="6"/>
        <v>17313</v>
      </c>
      <c r="AB29" s="60">
        <f t="shared" si="7"/>
        <v>5734.9</v>
      </c>
      <c r="AC29" s="60">
        <f t="shared" si="8"/>
        <v>5949.7</v>
      </c>
      <c r="AD29" s="60">
        <f t="shared" si="9"/>
        <v>22606.5</v>
      </c>
      <c r="AE29" s="60">
        <f t="shared" si="10"/>
        <v>3649.4</v>
      </c>
      <c r="AF29" s="60">
        <f t="shared" si="11"/>
        <v>6292.8</v>
      </c>
      <c r="AG29" s="60">
        <f t="shared" si="12"/>
        <v>1517.1</v>
      </c>
      <c r="AH29" s="60">
        <f t="shared" si="13"/>
        <v>11147.2</v>
      </c>
      <c r="AI29" s="60">
        <f t="shared" si="14"/>
        <v>13519</v>
      </c>
    </row>
    <row r="30" spans="1:35" ht="15">
      <c r="A30" s="62">
        <v>1986</v>
      </c>
      <c r="B30" s="59">
        <v>18950.5</v>
      </c>
      <c r="C30" s="59">
        <v>1456.1</v>
      </c>
      <c r="D30" s="59">
        <v>4810</v>
      </c>
      <c r="E30" s="59">
        <v>5246.6</v>
      </c>
      <c r="F30" s="59">
        <v>17877.9</v>
      </c>
      <c r="G30" s="59">
        <v>5750.8</v>
      </c>
      <c r="H30" s="59">
        <v>6274.6</v>
      </c>
      <c r="I30" s="59">
        <v>23580.7</v>
      </c>
      <c r="J30" s="59">
        <v>3930.5</v>
      </c>
      <c r="K30" s="59">
        <v>6527.7</v>
      </c>
      <c r="L30" s="64">
        <v>1536.3</v>
      </c>
      <c r="M30" s="63">
        <v>11586.2</v>
      </c>
      <c r="N30" s="59">
        <v>13794</v>
      </c>
      <c r="O30" s="60">
        <v>96285.1</v>
      </c>
      <c r="P30" s="60">
        <v>0</v>
      </c>
      <c r="U30" s="60">
        <f t="shared" si="2"/>
        <v>96285.1</v>
      </c>
      <c r="W30" s="60">
        <f t="shared" si="0"/>
        <v>18950.5</v>
      </c>
      <c r="X30" s="60">
        <f t="shared" si="3"/>
        <v>1456.1</v>
      </c>
      <c r="Y30" s="60">
        <f t="shared" si="4"/>
        <v>4810</v>
      </c>
      <c r="Z30" s="60">
        <f t="shared" si="5"/>
        <v>5246.6</v>
      </c>
      <c r="AA30" s="60">
        <f t="shared" si="6"/>
        <v>17877.9</v>
      </c>
      <c r="AB30" s="60">
        <f t="shared" si="7"/>
        <v>5750.8</v>
      </c>
      <c r="AC30" s="60">
        <f t="shared" si="8"/>
        <v>6274.6</v>
      </c>
      <c r="AD30" s="60">
        <f t="shared" si="9"/>
        <v>23580.7</v>
      </c>
      <c r="AE30" s="60">
        <f t="shared" si="10"/>
        <v>3930.5</v>
      </c>
      <c r="AF30" s="60">
        <f t="shared" si="11"/>
        <v>6527.7</v>
      </c>
      <c r="AG30" s="60">
        <f t="shared" si="12"/>
        <v>1536.3</v>
      </c>
      <c r="AH30" s="60">
        <f t="shared" si="13"/>
        <v>11586.2</v>
      </c>
      <c r="AI30" s="60">
        <f t="shared" si="14"/>
        <v>13794</v>
      </c>
    </row>
    <row r="31" spans="1:35" ht="15">
      <c r="A31" s="62">
        <v>1987</v>
      </c>
      <c r="B31" s="59">
        <v>19001.8</v>
      </c>
      <c r="C31" s="59">
        <v>1502.9</v>
      </c>
      <c r="D31" s="59">
        <v>4958</v>
      </c>
      <c r="E31" s="59">
        <v>5362.3</v>
      </c>
      <c r="F31" s="59">
        <v>18419.4</v>
      </c>
      <c r="G31" s="59">
        <v>5836.6</v>
      </c>
      <c r="H31" s="59">
        <v>6535.2</v>
      </c>
      <c r="I31" s="59">
        <v>24661.3</v>
      </c>
      <c r="J31" s="59">
        <v>4272</v>
      </c>
      <c r="K31" s="59">
        <v>6794.2</v>
      </c>
      <c r="L31" s="64">
        <v>1613.5</v>
      </c>
      <c r="M31" s="63">
        <v>11981.6</v>
      </c>
      <c r="N31" s="59">
        <v>14067</v>
      </c>
      <c r="O31" s="60">
        <v>98841.6</v>
      </c>
      <c r="P31" s="60">
        <v>0</v>
      </c>
      <c r="U31" s="60">
        <f t="shared" si="2"/>
        <v>98841.6</v>
      </c>
      <c r="W31" s="60">
        <f t="shared" si="0"/>
        <v>19001.8</v>
      </c>
      <c r="X31" s="60">
        <f t="shared" si="3"/>
        <v>1502.9</v>
      </c>
      <c r="Y31" s="60">
        <f t="shared" si="4"/>
        <v>4958</v>
      </c>
      <c r="Z31" s="60">
        <f t="shared" si="5"/>
        <v>5362.3</v>
      </c>
      <c r="AA31" s="60">
        <f t="shared" si="6"/>
        <v>18419.4</v>
      </c>
      <c r="AB31" s="60">
        <f t="shared" si="7"/>
        <v>5836.6</v>
      </c>
      <c r="AC31" s="60">
        <f t="shared" si="8"/>
        <v>6535.2</v>
      </c>
      <c r="AD31" s="60">
        <f t="shared" si="9"/>
        <v>24661.3</v>
      </c>
      <c r="AE31" s="60">
        <f t="shared" si="10"/>
        <v>4272</v>
      </c>
      <c r="AF31" s="60">
        <f t="shared" si="11"/>
        <v>6794.2</v>
      </c>
      <c r="AG31" s="60">
        <f t="shared" si="12"/>
        <v>1613.5</v>
      </c>
      <c r="AH31" s="60">
        <f t="shared" si="13"/>
        <v>11981.6</v>
      </c>
      <c r="AI31" s="60">
        <f t="shared" si="14"/>
        <v>14067</v>
      </c>
    </row>
    <row r="32" spans="1:35" ht="15">
      <c r="A32" s="62">
        <v>1988</v>
      </c>
      <c r="B32" s="59">
        <v>19314.4</v>
      </c>
      <c r="C32" s="59">
        <v>1543</v>
      </c>
      <c r="D32" s="59">
        <v>5098</v>
      </c>
      <c r="E32" s="59">
        <v>5511.7</v>
      </c>
      <c r="F32" s="59">
        <v>19022.8</v>
      </c>
      <c r="G32" s="59">
        <v>6029.9</v>
      </c>
      <c r="H32" s="59">
        <v>6629.2</v>
      </c>
      <c r="I32" s="59">
        <v>26018.7</v>
      </c>
      <c r="J32" s="59">
        <v>4638.4</v>
      </c>
      <c r="K32" s="59">
        <v>7105.5</v>
      </c>
      <c r="L32" s="64">
        <v>1740.4</v>
      </c>
      <c r="M32" s="63">
        <v>12534.4</v>
      </c>
      <c r="N32" s="59">
        <v>14415</v>
      </c>
      <c r="O32" s="60">
        <v>102039.7</v>
      </c>
      <c r="P32" s="60">
        <v>0</v>
      </c>
      <c r="U32" s="60">
        <f t="shared" si="2"/>
        <v>102039.7</v>
      </c>
      <c r="W32" s="60">
        <f t="shared" si="0"/>
        <v>19314.4</v>
      </c>
      <c r="X32" s="60">
        <f t="shared" si="3"/>
        <v>1543</v>
      </c>
      <c r="Y32" s="60">
        <f t="shared" si="4"/>
        <v>5098</v>
      </c>
      <c r="Z32" s="60">
        <f t="shared" si="5"/>
        <v>5511.7</v>
      </c>
      <c r="AA32" s="60">
        <f t="shared" si="6"/>
        <v>19022.8</v>
      </c>
      <c r="AB32" s="60">
        <f t="shared" si="7"/>
        <v>6029.9</v>
      </c>
      <c r="AC32" s="60">
        <f t="shared" si="8"/>
        <v>6629.2</v>
      </c>
      <c r="AD32" s="60">
        <f t="shared" si="9"/>
        <v>26018.7</v>
      </c>
      <c r="AE32" s="60">
        <f t="shared" si="10"/>
        <v>4638.4</v>
      </c>
      <c r="AF32" s="60">
        <f t="shared" si="11"/>
        <v>7105.5</v>
      </c>
      <c r="AG32" s="60">
        <f t="shared" si="12"/>
        <v>1740.4</v>
      </c>
      <c r="AH32" s="60">
        <f t="shared" si="13"/>
        <v>12534.4</v>
      </c>
      <c r="AI32" s="60">
        <f t="shared" si="14"/>
        <v>14415</v>
      </c>
    </row>
    <row r="33" spans="1:35" ht="15">
      <c r="A33" s="62">
        <v>1989</v>
      </c>
      <c r="B33" s="59">
        <v>19391.5</v>
      </c>
      <c r="C33" s="59">
        <v>1556</v>
      </c>
      <c r="D33" s="59">
        <v>5171</v>
      </c>
      <c r="E33" s="59">
        <v>5613.8</v>
      </c>
      <c r="F33" s="59">
        <v>19475.3</v>
      </c>
      <c r="G33" s="59">
        <v>6187.2</v>
      </c>
      <c r="H33" s="59">
        <v>6668.6</v>
      </c>
      <c r="I33" s="59">
        <v>27346.8</v>
      </c>
      <c r="J33" s="59">
        <v>4940.6</v>
      </c>
      <c r="K33" s="59">
        <v>7463</v>
      </c>
      <c r="L33" s="64">
        <v>1835.7</v>
      </c>
      <c r="M33" s="63">
        <v>13107.5</v>
      </c>
      <c r="N33" s="59">
        <v>14791</v>
      </c>
      <c r="O33" s="60">
        <v>104645.2</v>
      </c>
      <c r="P33" s="60">
        <v>0</v>
      </c>
      <c r="U33" s="60">
        <f t="shared" si="2"/>
        <v>104645.2</v>
      </c>
      <c r="W33" s="60">
        <f t="shared" si="0"/>
        <v>19391.5</v>
      </c>
      <c r="X33" s="60">
        <f t="shared" si="3"/>
        <v>1556</v>
      </c>
      <c r="Y33" s="60">
        <f t="shared" si="4"/>
        <v>5171</v>
      </c>
      <c r="Z33" s="60">
        <f t="shared" si="5"/>
        <v>5613.8</v>
      </c>
      <c r="AA33" s="60">
        <f t="shared" si="6"/>
        <v>19475.3</v>
      </c>
      <c r="AB33" s="60">
        <f t="shared" si="7"/>
        <v>6187.2</v>
      </c>
      <c r="AC33" s="60">
        <f t="shared" si="8"/>
        <v>6668.6</v>
      </c>
      <c r="AD33" s="60">
        <f t="shared" si="9"/>
        <v>27346.8</v>
      </c>
      <c r="AE33" s="60">
        <f t="shared" si="10"/>
        <v>4940.6</v>
      </c>
      <c r="AF33" s="60">
        <f t="shared" si="11"/>
        <v>7463</v>
      </c>
      <c r="AG33" s="60">
        <f t="shared" si="12"/>
        <v>1835.7</v>
      </c>
      <c r="AH33" s="60">
        <f t="shared" si="13"/>
        <v>13107.5</v>
      </c>
      <c r="AI33" s="60">
        <f t="shared" si="14"/>
        <v>14791</v>
      </c>
    </row>
    <row r="34" spans="1:35" ht="15">
      <c r="A34" s="62">
        <v>1990</v>
      </c>
      <c r="B34" s="59">
        <v>19076.7</v>
      </c>
      <c r="C34" s="59">
        <v>1569.5</v>
      </c>
      <c r="D34" s="59">
        <v>5120</v>
      </c>
      <c r="E34" s="59">
        <v>5776.3</v>
      </c>
      <c r="F34" s="59">
        <v>19601.1</v>
      </c>
      <c r="G34" s="59">
        <v>6172.9</v>
      </c>
      <c r="H34" s="59">
        <v>6708.7</v>
      </c>
      <c r="I34" s="59">
        <v>28305.1</v>
      </c>
      <c r="J34" s="59">
        <v>5139.4</v>
      </c>
      <c r="K34" s="59">
        <v>7814.3</v>
      </c>
      <c r="L34" s="64">
        <v>1945.4</v>
      </c>
      <c r="M34" s="60">
        <v>13406</v>
      </c>
      <c r="N34" s="59">
        <v>15219</v>
      </c>
      <c r="O34" s="60">
        <v>105979.8</v>
      </c>
      <c r="P34" s="60">
        <v>0</v>
      </c>
      <c r="U34" s="60">
        <f t="shared" si="2"/>
        <v>105979.8</v>
      </c>
      <c r="W34" s="60">
        <f aca="true" t="shared" si="15" ref="W34:W54">B34</f>
        <v>19076.7</v>
      </c>
      <c r="X34" s="60">
        <f t="shared" si="3"/>
        <v>1569.5</v>
      </c>
      <c r="Y34" s="60">
        <f t="shared" si="4"/>
        <v>5120</v>
      </c>
      <c r="Z34" s="60">
        <f t="shared" si="5"/>
        <v>5776.3</v>
      </c>
      <c r="AA34" s="60">
        <f t="shared" si="6"/>
        <v>19601.1</v>
      </c>
      <c r="AB34" s="60">
        <f t="shared" si="7"/>
        <v>6172.9</v>
      </c>
      <c r="AC34" s="60">
        <f t="shared" si="8"/>
        <v>6708.7</v>
      </c>
      <c r="AD34" s="60">
        <f t="shared" si="9"/>
        <v>28305.1</v>
      </c>
      <c r="AE34" s="60">
        <f t="shared" si="10"/>
        <v>5139.4</v>
      </c>
      <c r="AF34" s="60">
        <f t="shared" si="11"/>
        <v>7814.3</v>
      </c>
      <c r="AG34" s="60">
        <f t="shared" si="12"/>
        <v>1945.4</v>
      </c>
      <c r="AH34" s="60">
        <f t="shared" si="13"/>
        <v>13406</v>
      </c>
      <c r="AI34" s="60">
        <f t="shared" si="14"/>
        <v>15219</v>
      </c>
    </row>
    <row r="35" spans="1:35" ht="15">
      <c r="A35" s="62">
        <v>1991</v>
      </c>
      <c r="B35" s="59">
        <v>18406.7</v>
      </c>
      <c r="C35" s="59">
        <v>1535.5</v>
      </c>
      <c r="D35" s="59">
        <v>4650</v>
      </c>
      <c r="E35" s="59">
        <v>5754.7</v>
      </c>
      <c r="F35" s="59">
        <v>19283.5</v>
      </c>
      <c r="G35" s="59">
        <v>6081</v>
      </c>
      <c r="H35" s="59">
        <v>6646.1</v>
      </c>
      <c r="I35" s="59">
        <v>28710.9</v>
      </c>
      <c r="J35" s="59">
        <v>5086.1</v>
      </c>
      <c r="K35" s="59">
        <v>8182.9</v>
      </c>
      <c r="L35" s="64">
        <v>1981.9</v>
      </c>
      <c r="M35" s="60">
        <v>13460</v>
      </c>
      <c r="N35" s="59">
        <v>15436</v>
      </c>
      <c r="O35" s="60">
        <v>104968.9</v>
      </c>
      <c r="P35" s="60">
        <v>0</v>
      </c>
      <c r="U35" s="60">
        <f t="shared" si="2"/>
        <v>104968.9</v>
      </c>
      <c r="W35" s="60">
        <f t="shared" si="15"/>
        <v>18406.7</v>
      </c>
      <c r="X35" s="60">
        <f t="shared" si="3"/>
        <v>1535.5</v>
      </c>
      <c r="Y35" s="60">
        <f t="shared" si="4"/>
        <v>4650</v>
      </c>
      <c r="Z35" s="60">
        <f t="shared" si="5"/>
        <v>5754.7</v>
      </c>
      <c r="AA35" s="60">
        <f t="shared" si="6"/>
        <v>19283.5</v>
      </c>
      <c r="AB35" s="60">
        <f t="shared" si="7"/>
        <v>6081</v>
      </c>
      <c r="AC35" s="60">
        <f t="shared" si="8"/>
        <v>6646.1</v>
      </c>
      <c r="AD35" s="60">
        <f t="shared" si="9"/>
        <v>28710.9</v>
      </c>
      <c r="AE35" s="60">
        <f t="shared" si="10"/>
        <v>5086.1</v>
      </c>
      <c r="AF35" s="60">
        <f t="shared" si="11"/>
        <v>8182.9</v>
      </c>
      <c r="AG35" s="60">
        <f t="shared" si="12"/>
        <v>1981.9</v>
      </c>
      <c r="AH35" s="60">
        <f t="shared" si="13"/>
        <v>13460</v>
      </c>
      <c r="AI35" s="60">
        <f t="shared" si="14"/>
        <v>15436</v>
      </c>
    </row>
    <row r="36" spans="1:35" ht="15">
      <c r="A36" s="62">
        <v>1992</v>
      </c>
      <c r="B36" s="59">
        <v>18104.1</v>
      </c>
      <c r="C36" s="59">
        <v>1506.6</v>
      </c>
      <c r="D36" s="59">
        <v>4492</v>
      </c>
      <c r="E36" s="59">
        <v>5718</v>
      </c>
      <c r="F36" s="59">
        <v>19356.5</v>
      </c>
      <c r="G36" s="59">
        <v>5997.1</v>
      </c>
      <c r="H36" s="59">
        <v>6601.7</v>
      </c>
      <c r="I36" s="59">
        <v>29538.9</v>
      </c>
      <c r="J36" s="59">
        <v>5315.5</v>
      </c>
      <c r="K36" s="59">
        <v>8490.1</v>
      </c>
      <c r="L36" s="64">
        <v>1973</v>
      </c>
      <c r="M36" s="60">
        <v>13760.3</v>
      </c>
      <c r="N36" s="59">
        <v>15676</v>
      </c>
      <c r="O36" s="60">
        <v>105484.3</v>
      </c>
      <c r="P36" s="60">
        <v>0</v>
      </c>
      <c r="U36" s="60">
        <f t="shared" si="2"/>
        <v>105484.3</v>
      </c>
      <c r="W36" s="60">
        <f t="shared" si="15"/>
        <v>18104.1</v>
      </c>
      <c r="X36" s="60">
        <f t="shared" si="3"/>
        <v>1506.6</v>
      </c>
      <c r="Y36" s="60">
        <f t="shared" si="4"/>
        <v>4492</v>
      </c>
      <c r="Z36" s="60">
        <f t="shared" si="5"/>
        <v>5718</v>
      </c>
      <c r="AA36" s="60">
        <f t="shared" si="6"/>
        <v>19356.5</v>
      </c>
      <c r="AB36" s="60">
        <f t="shared" si="7"/>
        <v>5997.1</v>
      </c>
      <c r="AC36" s="60">
        <f t="shared" si="8"/>
        <v>6601.7</v>
      </c>
      <c r="AD36" s="60">
        <f t="shared" si="9"/>
        <v>29538.9</v>
      </c>
      <c r="AE36" s="60">
        <f t="shared" si="10"/>
        <v>5315.5</v>
      </c>
      <c r="AF36" s="60">
        <f t="shared" si="11"/>
        <v>8490.1</v>
      </c>
      <c r="AG36" s="60">
        <f t="shared" si="12"/>
        <v>1973</v>
      </c>
      <c r="AH36" s="60">
        <f t="shared" si="13"/>
        <v>13760.3</v>
      </c>
      <c r="AI36" s="60">
        <f t="shared" si="14"/>
        <v>15676</v>
      </c>
    </row>
    <row r="37" spans="1:35" ht="15">
      <c r="A37" s="62">
        <v>1993</v>
      </c>
      <c r="B37" s="59">
        <v>18075.1</v>
      </c>
      <c r="C37" s="59">
        <v>1516.8</v>
      </c>
      <c r="D37" s="59">
        <v>4667.6</v>
      </c>
      <c r="E37" s="59">
        <v>5811.1</v>
      </c>
      <c r="F37" s="59">
        <v>19773.7</v>
      </c>
      <c r="G37" s="59">
        <v>5981.6</v>
      </c>
      <c r="H37" s="59">
        <v>6756.5</v>
      </c>
      <c r="I37" s="59">
        <v>30649.3</v>
      </c>
      <c r="J37" s="59">
        <v>5734.7</v>
      </c>
      <c r="K37" s="59">
        <v>8755.9</v>
      </c>
      <c r="L37" s="64">
        <v>2034.7</v>
      </c>
      <c r="M37" s="60">
        <v>14124</v>
      </c>
      <c r="N37" s="59">
        <v>15926</v>
      </c>
      <c r="O37" s="60">
        <v>107640.9</v>
      </c>
      <c r="P37" s="60">
        <v>0</v>
      </c>
      <c r="U37" s="60">
        <f t="shared" si="2"/>
        <v>107640.9</v>
      </c>
      <c r="W37" s="60">
        <f t="shared" si="15"/>
        <v>18075.1</v>
      </c>
      <c r="X37" s="60">
        <f t="shared" si="3"/>
        <v>1516.8</v>
      </c>
      <c r="Y37" s="60">
        <f t="shared" si="4"/>
        <v>4667.6</v>
      </c>
      <c r="Z37" s="60">
        <f t="shared" si="5"/>
        <v>5811.1</v>
      </c>
      <c r="AA37" s="60">
        <f t="shared" si="6"/>
        <v>19773.7</v>
      </c>
      <c r="AB37" s="60">
        <f t="shared" si="7"/>
        <v>5981.6</v>
      </c>
      <c r="AC37" s="60">
        <f t="shared" si="8"/>
        <v>6756.5</v>
      </c>
      <c r="AD37" s="60">
        <f t="shared" si="9"/>
        <v>30649.3</v>
      </c>
      <c r="AE37" s="60">
        <f t="shared" si="10"/>
        <v>5734.7</v>
      </c>
      <c r="AF37" s="60">
        <f t="shared" si="11"/>
        <v>8755.9</v>
      </c>
      <c r="AG37" s="60">
        <f t="shared" si="12"/>
        <v>2034.7</v>
      </c>
      <c r="AH37" s="60">
        <f t="shared" si="13"/>
        <v>14124</v>
      </c>
      <c r="AI37" s="60">
        <f t="shared" si="14"/>
        <v>15926</v>
      </c>
    </row>
    <row r="38" spans="1:35" ht="15">
      <c r="A38" s="62">
        <v>1994</v>
      </c>
      <c r="B38" s="59">
        <v>18320.9</v>
      </c>
      <c r="C38" s="59">
        <v>1537.3</v>
      </c>
      <c r="D38" s="59">
        <v>4986.3</v>
      </c>
      <c r="E38" s="59">
        <v>5984.2</v>
      </c>
      <c r="F38" s="59">
        <v>20507.2</v>
      </c>
      <c r="G38" s="59">
        <v>6162.4</v>
      </c>
      <c r="H38" s="59">
        <v>6895.2</v>
      </c>
      <c r="I38" s="59">
        <v>31845.5</v>
      </c>
      <c r="J38" s="59">
        <v>6280.8</v>
      </c>
      <c r="K38" s="59">
        <v>8991.9</v>
      </c>
      <c r="L38" s="64">
        <v>2081.6</v>
      </c>
      <c r="M38" s="60">
        <v>14491.2</v>
      </c>
      <c r="N38" s="59">
        <v>16257</v>
      </c>
      <c r="O38" s="60">
        <v>110958.7</v>
      </c>
      <c r="P38" s="60">
        <v>0</v>
      </c>
      <c r="U38" s="60">
        <f t="shared" si="2"/>
        <v>110958.7</v>
      </c>
      <c r="W38" s="60">
        <f t="shared" si="15"/>
        <v>18320.9</v>
      </c>
      <c r="X38" s="60">
        <f t="shared" si="3"/>
        <v>1537.3</v>
      </c>
      <c r="Y38" s="60">
        <f t="shared" si="4"/>
        <v>4986.3</v>
      </c>
      <c r="Z38" s="60">
        <f t="shared" si="5"/>
        <v>5984.2</v>
      </c>
      <c r="AA38" s="60">
        <f t="shared" si="6"/>
        <v>20507.2</v>
      </c>
      <c r="AB38" s="60">
        <f t="shared" si="7"/>
        <v>6162.4</v>
      </c>
      <c r="AC38" s="60">
        <f t="shared" si="8"/>
        <v>6895.2</v>
      </c>
      <c r="AD38" s="60">
        <f t="shared" si="9"/>
        <v>31845.5</v>
      </c>
      <c r="AE38" s="60">
        <f t="shared" si="10"/>
        <v>6280.8</v>
      </c>
      <c r="AF38" s="60">
        <f t="shared" si="11"/>
        <v>8991.9</v>
      </c>
      <c r="AG38" s="60">
        <f t="shared" si="12"/>
        <v>2081.6</v>
      </c>
      <c r="AH38" s="60">
        <f t="shared" si="13"/>
        <v>14491.2</v>
      </c>
      <c r="AI38" s="60">
        <f t="shared" si="14"/>
        <v>16257</v>
      </c>
    </row>
    <row r="39" spans="1:35" ht="15">
      <c r="A39" s="62">
        <v>1995</v>
      </c>
      <c r="B39" s="59">
        <v>18524</v>
      </c>
      <c r="C39" s="59">
        <v>1545.9</v>
      </c>
      <c r="D39" s="59">
        <v>5160.6</v>
      </c>
      <c r="E39" s="59">
        <v>6132.2</v>
      </c>
      <c r="F39" s="59">
        <v>21187</v>
      </c>
      <c r="G39" s="59">
        <v>6377.8</v>
      </c>
      <c r="H39" s="59">
        <v>6805.9</v>
      </c>
      <c r="I39" s="59">
        <v>33313.4</v>
      </c>
      <c r="J39" s="59">
        <v>6812.5</v>
      </c>
      <c r="K39" s="59">
        <v>9230.4</v>
      </c>
      <c r="L39" s="64">
        <v>2145.9</v>
      </c>
      <c r="M39" s="60">
        <v>15124.6</v>
      </c>
      <c r="N39" s="59">
        <v>16484</v>
      </c>
      <c r="O39" s="60">
        <v>113984.9</v>
      </c>
      <c r="P39" s="60">
        <v>0</v>
      </c>
      <c r="U39" s="60">
        <f t="shared" si="2"/>
        <v>113984.9</v>
      </c>
      <c r="W39" s="60">
        <f t="shared" si="15"/>
        <v>18524</v>
      </c>
      <c r="X39" s="60">
        <f t="shared" si="3"/>
        <v>1545.9</v>
      </c>
      <c r="Y39" s="60">
        <f t="shared" si="4"/>
        <v>5160.6</v>
      </c>
      <c r="Z39" s="60">
        <f t="shared" si="5"/>
        <v>6132.2</v>
      </c>
      <c r="AA39" s="60">
        <f t="shared" si="6"/>
        <v>21187</v>
      </c>
      <c r="AB39" s="60">
        <f t="shared" si="7"/>
        <v>6377.8</v>
      </c>
      <c r="AC39" s="60">
        <f t="shared" si="8"/>
        <v>6805.9</v>
      </c>
      <c r="AD39" s="60">
        <f t="shared" si="9"/>
        <v>33313.4</v>
      </c>
      <c r="AE39" s="60">
        <f t="shared" si="10"/>
        <v>6812.5</v>
      </c>
      <c r="AF39" s="60">
        <f t="shared" si="11"/>
        <v>9230.4</v>
      </c>
      <c r="AG39" s="60">
        <f t="shared" si="12"/>
        <v>2145.9</v>
      </c>
      <c r="AH39" s="60">
        <f t="shared" si="13"/>
        <v>15124.6</v>
      </c>
      <c r="AI39" s="60">
        <f t="shared" si="14"/>
        <v>16484</v>
      </c>
    </row>
    <row r="40" spans="1:35" ht="15">
      <c r="A40" s="62">
        <v>1996</v>
      </c>
      <c r="B40" s="59">
        <v>18495</v>
      </c>
      <c r="C40" s="59">
        <v>1540.3</v>
      </c>
      <c r="D40" s="59">
        <v>5417.7</v>
      </c>
      <c r="E40" s="59">
        <v>6253.1</v>
      </c>
      <c r="F40" s="59">
        <v>21596.8</v>
      </c>
      <c r="G40" s="59">
        <v>6482</v>
      </c>
      <c r="H40" s="59">
        <v>6911</v>
      </c>
      <c r="I40" s="59">
        <v>34595.4</v>
      </c>
      <c r="J40" s="59">
        <v>7292.9</v>
      </c>
      <c r="K40" s="59">
        <v>9478</v>
      </c>
      <c r="L40" s="64">
        <v>2201.4</v>
      </c>
      <c r="M40" s="60">
        <v>15623.1</v>
      </c>
      <c r="N40" s="59">
        <v>16662</v>
      </c>
      <c r="O40" s="60">
        <v>116413</v>
      </c>
      <c r="P40" s="60">
        <v>0</v>
      </c>
      <c r="U40" s="60">
        <f t="shared" si="2"/>
        <v>116413</v>
      </c>
      <c r="W40" s="60">
        <f t="shared" si="15"/>
        <v>18495</v>
      </c>
      <c r="X40" s="60">
        <f t="shared" si="3"/>
        <v>1540.3</v>
      </c>
      <c r="Y40" s="60">
        <f t="shared" si="4"/>
        <v>5417.7</v>
      </c>
      <c r="Z40" s="60">
        <f t="shared" si="5"/>
        <v>6253.1</v>
      </c>
      <c r="AA40" s="60">
        <f t="shared" si="6"/>
        <v>21596.8</v>
      </c>
      <c r="AB40" s="60">
        <f t="shared" si="7"/>
        <v>6482</v>
      </c>
      <c r="AC40" s="60">
        <f t="shared" si="8"/>
        <v>6911</v>
      </c>
      <c r="AD40" s="60">
        <f t="shared" si="9"/>
        <v>34595.4</v>
      </c>
      <c r="AE40" s="60">
        <f t="shared" si="10"/>
        <v>7292.9</v>
      </c>
      <c r="AF40" s="60">
        <f t="shared" si="11"/>
        <v>9478</v>
      </c>
      <c r="AG40" s="60">
        <f t="shared" si="12"/>
        <v>2201.4</v>
      </c>
      <c r="AH40" s="60">
        <f t="shared" si="13"/>
        <v>15623.1</v>
      </c>
      <c r="AI40" s="60">
        <f t="shared" si="14"/>
        <v>16662</v>
      </c>
    </row>
    <row r="41" spans="1:35" ht="15">
      <c r="A41" s="62">
        <v>1997</v>
      </c>
      <c r="B41" s="59">
        <v>18676.2</v>
      </c>
      <c r="C41" s="59">
        <v>1552.5</v>
      </c>
      <c r="D41" s="59">
        <v>5690.8</v>
      </c>
      <c r="E41" s="59">
        <v>6408.2</v>
      </c>
      <c r="F41" s="59">
        <v>21966.4</v>
      </c>
      <c r="G41" s="59">
        <v>6648.1</v>
      </c>
      <c r="H41" s="59">
        <v>7108.7</v>
      </c>
      <c r="I41" s="59">
        <v>36103.1</v>
      </c>
      <c r="J41" s="59">
        <v>7987.5</v>
      </c>
      <c r="K41" s="59">
        <v>9702.7</v>
      </c>
      <c r="L41" s="64">
        <v>2276.5</v>
      </c>
      <c r="M41" s="60">
        <v>16136.4</v>
      </c>
      <c r="N41" s="59">
        <v>16857</v>
      </c>
      <c r="O41" s="60">
        <v>119458.5</v>
      </c>
      <c r="P41" s="60">
        <v>0</v>
      </c>
      <c r="U41" s="60">
        <f t="shared" si="2"/>
        <v>119458.5</v>
      </c>
      <c r="W41" s="60">
        <f t="shared" si="15"/>
        <v>18676.2</v>
      </c>
      <c r="X41" s="60">
        <f t="shared" si="3"/>
        <v>1552.5</v>
      </c>
      <c r="Y41" s="60">
        <f t="shared" si="4"/>
        <v>5690.8</v>
      </c>
      <c r="Z41" s="60">
        <f t="shared" si="5"/>
        <v>6408.2</v>
      </c>
      <c r="AA41" s="60">
        <f t="shared" si="6"/>
        <v>21966.4</v>
      </c>
      <c r="AB41" s="60">
        <f t="shared" si="7"/>
        <v>6648.1</v>
      </c>
      <c r="AC41" s="60">
        <f t="shared" si="8"/>
        <v>7108.7</v>
      </c>
      <c r="AD41" s="60">
        <f t="shared" si="9"/>
        <v>36103.1</v>
      </c>
      <c r="AE41" s="60">
        <f t="shared" si="10"/>
        <v>7987.5</v>
      </c>
      <c r="AF41" s="60">
        <f t="shared" si="11"/>
        <v>9702.7</v>
      </c>
      <c r="AG41" s="60">
        <f t="shared" si="12"/>
        <v>2276.5</v>
      </c>
      <c r="AH41" s="60">
        <f t="shared" si="13"/>
        <v>16136.4</v>
      </c>
      <c r="AI41" s="60">
        <f t="shared" si="14"/>
        <v>16857</v>
      </c>
    </row>
    <row r="42" spans="1:35" ht="15">
      <c r="A42" s="62">
        <v>1998</v>
      </c>
      <c r="B42" s="59">
        <v>18805.1</v>
      </c>
      <c r="C42" s="59">
        <v>1564.6</v>
      </c>
      <c r="D42" s="59">
        <v>6020.1</v>
      </c>
      <c r="E42" s="59">
        <v>6610.7</v>
      </c>
      <c r="F42" s="59">
        <v>22295.2</v>
      </c>
      <c r="G42" s="59">
        <v>6799.8</v>
      </c>
      <c r="H42" s="59">
        <v>7388.6</v>
      </c>
      <c r="I42" s="59">
        <v>37566.2</v>
      </c>
      <c r="J42" s="59">
        <v>8618</v>
      </c>
      <c r="K42" s="59">
        <v>9852.4</v>
      </c>
      <c r="L42" s="64">
        <v>2372</v>
      </c>
      <c r="M42" s="60">
        <v>16723.8</v>
      </c>
      <c r="N42" s="59">
        <v>17133</v>
      </c>
      <c r="O42" s="60">
        <v>122618.7</v>
      </c>
      <c r="P42" s="60">
        <v>0</v>
      </c>
      <c r="U42" s="60">
        <f t="shared" si="2"/>
        <v>122618.7</v>
      </c>
      <c r="W42" s="60">
        <f t="shared" si="15"/>
        <v>18805.1</v>
      </c>
      <c r="X42" s="60">
        <f t="shared" si="3"/>
        <v>1564.6</v>
      </c>
      <c r="Y42" s="60">
        <f t="shared" si="4"/>
        <v>6020.1</v>
      </c>
      <c r="Z42" s="60">
        <f t="shared" si="5"/>
        <v>6610.7</v>
      </c>
      <c r="AA42" s="60">
        <f t="shared" si="6"/>
        <v>22295.2</v>
      </c>
      <c r="AB42" s="60">
        <f t="shared" si="7"/>
        <v>6799.8</v>
      </c>
      <c r="AC42" s="60">
        <f t="shared" si="8"/>
        <v>7388.6</v>
      </c>
      <c r="AD42" s="60">
        <f t="shared" si="9"/>
        <v>37566.2</v>
      </c>
      <c r="AE42" s="60">
        <f t="shared" si="10"/>
        <v>8618</v>
      </c>
      <c r="AF42" s="60">
        <f t="shared" si="11"/>
        <v>9852.4</v>
      </c>
      <c r="AG42" s="60">
        <f t="shared" si="12"/>
        <v>2372</v>
      </c>
      <c r="AH42" s="60">
        <f t="shared" si="13"/>
        <v>16723.8</v>
      </c>
      <c r="AI42" s="60">
        <f t="shared" si="14"/>
        <v>17133</v>
      </c>
    </row>
    <row r="43" spans="1:35" ht="12.75">
      <c r="A43" s="62">
        <v>1999</v>
      </c>
      <c r="B43" s="65">
        <v>18552</v>
      </c>
      <c r="C43" s="65">
        <v>1552.3</v>
      </c>
      <c r="D43" s="65">
        <v>6415</v>
      </c>
      <c r="E43" s="65">
        <v>6834</v>
      </c>
      <c r="F43" s="65">
        <v>22848</v>
      </c>
      <c r="G43" s="65">
        <v>6911</v>
      </c>
      <c r="H43" s="65">
        <v>7555</v>
      </c>
      <c r="I43" s="59">
        <v>38989</v>
      </c>
      <c r="J43" s="59">
        <v>9299.9</v>
      </c>
      <c r="K43" s="65">
        <v>9976.6</v>
      </c>
      <c r="L43" s="65">
        <v>2436</v>
      </c>
      <c r="M43" s="60">
        <v>17276.5</v>
      </c>
      <c r="N43" s="65">
        <v>17538</v>
      </c>
      <c r="O43" s="60">
        <v>125642</v>
      </c>
      <c r="P43" s="60">
        <v>0</v>
      </c>
      <c r="Q43" s="60"/>
      <c r="U43" s="60">
        <f t="shared" si="2"/>
        <v>125642</v>
      </c>
      <c r="W43" s="60">
        <f t="shared" si="15"/>
        <v>18552</v>
      </c>
      <c r="X43" s="60">
        <f t="shared" si="3"/>
        <v>1552.3</v>
      </c>
      <c r="Y43" s="60">
        <f t="shared" si="4"/>
        <v>6415</v>
      </c>
      <c r="Z43" s="60">
        <f t="shared" si="5"/>
        <v>6834</v>
      </c>
      <c r="AA43" s="60">
        <f t="shared" si="6"/>
        <v>22848</v>
      </c>
      <c r="AB43" s="60">
        <f t="shared" si="7"/>
        <v>6911</v>
      </c>
      <c r="AC43" s="60">
        <f t="shared" si="8"/>
        <v>7555</v>
      </c>
      <c r="AD43" s="60">
        <f t="shared" si="9"/>
        <v>38989</v>
      </c>
      <c r="AE43" s="60">
        <f t="shared" si="10"/>
        <v>9299.9</v>
      </c>
      <c r="AF43" s="60">
        <f t="shared" si="11"/>
        <v>9976.6</v>
      </c>
      <c r="AG43" s="60">
        <f t="shared" si="12"/>
        <v>2436</v>
      </c>
      <c r="AH43" s="60">
        <f t="shared" si="13"/>
        <v>17276.5</v>
      </c>
      <c r="AI43" s="60">
        <f t="shared" si="14"/>
        <v>17538</v>
      </c>
    </row>
    <row r="44" spans="1:35" ht="12.75">
      <c r="A44" s="61">
        <v>2000</v>
      </c>
      <c r="B44" s="65">
        <v>18473</v>
      </c>
      <c r="C44" s="65">
        <v>1547.5</v>
      </c>
      <c r="D44" s="65">
        <v>6653</v>
      </c>
      <c r="E44" s="65">
        <v>7031</v>
      </c>
      <c r="F44" s="65">
        <v>23337</v>
      </c>
      <c r="G44" s="65">
        <v>6947</v>
      </c>
      <c r="H44" s="65">
        <v>7578</v>
      </c>
      <c r="I44" s="59">
        <v>40215.1</v>
      </c>
      <c r="J44" s="65">
        <v>9852.3</v>
      </c>
      <c r="K44" s="65">
        <v>10103.4</v>
      </c>
      <c r="L44" s="65">
        <v>2466</v>
      </c>
      <c r="M44" s="66">
        <v>17793.4</v>
      </c>
      <c r="N44" s="65">
        <v>17925</v>
      </c>
      <c r="O44" s="60">
        <v>128159.1</v>
      </c>
      <c r="P44" s="60">
        <v>0</v>
      </c>
      <c r="Q44" s="60"/>
      <c r="U44" s="60">
        <f t="shared" si="2"/>
        <v>128159.1</v>
      </c>
      <c r="W44" s="60">
        <f t="shared" si="15"/>
        <v>18473</v>
      </c>
      <c r="X44" s="60">
        <f t="shared" si="3"/>
        <v>1547.5</v>
      </c>
      <c r="Y44" s="60">
        <f t="shared" si="4"/>
        <v>6653</v>
      </c>
      <c r="Z44" s="60">
        <f t="shared" si="5"/>
        <v>7031</v>
      </c>
      <c r="AA44" s="60">
        <f t="shared" si="6"/>
        <v>23337</v>
      </c>
      <c r="AB44" s="60">
        <f t="shared" si="7"/>
        <v>6947</v>
      </c>
      <c r="AC44" s="60">
        <f t="shared" si="8"/>
        <v>7578</v>
      </c>
      <c r="AD44" s="60">
        <f t="shared" si="9"/>
        <v>40215.1</v>
      </c>
      <c r="AE44" s="60">
        <f t="shared" si="10"/>
        <v>9852.3</v>
      </c>
      <c r="AF44" s="60">
        <f t="shared" si="11"/>
        <v>10103.4</v>
      </c>
      <c r="AG44" s="60">
        <f t="shared" si="12"/>
        <v>2466</v>
      </c>
      <c r="AH44" s="60">
        <f t="shared" si="13"/>
        <v>17793.4</v>
      </c>
      <c r="AI44" s="60">
        <f t="shared" si="14"/>
        <v>17925</v>
      </c>
    </row>
    <row r="45" spans="1:35" ht="12.75">
      <c r="A45" s="62">
        <v>2001</v>
      </c>
      <c r="B45" s="59">
        <v>17695</v>
      </c>
      <c r="C45" s="59">
        <v>1490.8</v>
      </c>
      <c r="D45" s="59">
        <v>6685</v>
      </c>
      <c r="E45" s="59">
        <v>7065</v>
      </c>
      <c r="F45" s="59">
        <v>23522</v>
      </c>
      <c r="G45" s="59">
        <v>6776</v>
      </c>
      <c r="H45" s="59">
        <v>7712</v>
      </c>
      <c r="I45" s="66">
        <v>40667.3</v>
      </c>
      <c r="J45" s="59">
        <v>9572.3</v>
      </c>
      <c r="K45" s="59">
        <v>10380.7</v>
      </c>
      <c r="L45" s="60">
        <v>2468</v>
      </c>
      <c r="M45" s="66">
        <v>18246.3</v>
      </c>
      <c r="N45" s="59">
        <v>18317</v>
      </c>
      <c r="O45" s="60">
        <v>128439.3</v>
      </c>
      <c r="P45" s="60">
        <v>0</v>
      </c>
      <c r="Q45" s="60"/>
      <c r="U45" s="60">
        <f t="shared" si="2"/>
        <v>128439.3</v>
      </c>
      <c r="W45" s="60">
        <f t="shared" si="15"/>
        <v>17695</v>
      </c>
      <c r="X45" s="60">
        <f t="shared" si="3"/>
        <v>1490.8</v>
      </c>
      <c r="Y45" s="60">
        <f t="shared" si="4"/>
        <v>6685</v>
      </c>
      <c r="Z45" s="60">
        <f t="shared" si="5"/>
        <v>7065</v>
      </c>
      <c r="AA45" s="60">
        <f t="shared" si="6"/>
        <v>23522</v>
      </c>
      <c r="AB45" s="60">
        <f t="shared" si="7"/>
        <v>6776</v>
      </c>
      <c r="AC45" s="60">
        <f t="shared" si="8"/>
        <v>7712</v>
      </c>
      <c r="AD45" s="60">
        <f t="shared" si="9"/>
        <v>40667.3</v>
      </c>
      <c r="AE45" s="60">
        <f t="shared" si="10"/>
        <v>9572.3</v>
      </c>
      <c r="AF45" s="60">
        <f t="shared" si="11"/>
        <v>10380.7</v>
      </c>
      <c r="AG45" s="60">
        <f t="shared" si="12"/>
        <v>2468</v>
      </c>
      <c r="AH45" s="60">
        <f t="shared" si="13"/>
        <v>18246.3</v>
      </c>
      <c r="AI45" s="60">
        <f t="shared" si="14"/>
        <v>18317</v>
      </c>
    </row>
    <row r="46" spans="1:35" ht="12.75">
      <c r="A46" s="62">
        <v>2002</v>
      </c>
      <c r="B46" s="59">
        <v>16724</v>
      </c>
      <c r="C46" s="59">
        <v>1410</v>
      </c>
      <c r="D46" s="67">
        <v>6556</v>
      </c>
      <c r="E46" s="59">
        <v>6773</v>
      </c>
      <c r="F46" s="59">
        <v>23306</v>
      </c>
      <c r="G46" s="59">
        <v>6671</v>
      </c>
      <c r="H46" s="59">
        <v>7760</v>
      </c>
      <c r="I46" s="66">
        <v>40863.5</v>
      </c>
      <c r="J46" s="59">
        <v>9305.2</v>
      </c>
      <c r="K46" s="59">
        <v>10673.1</v>
      </c>
      <c r="L46" s="60">
        <v>2476.7</v>
      </c>
      <c r="M46" s="66">
        <v>18408.5</v>
      </c>
      <c r="N46" s="59">
        <v>18640</v>
      </c>
      <c r="O46" s="60">
        <v>127293.5</v>
      </c>
      <c r="P46" s="60">
        <v>0</v>
      </c>
      <c r="Q46" s="60"/>
      <c r="U46" s="60">
        <f t="shared" si="2"/>
        <v>127293.5</v>
      </c>
      <c r="W46" s="60">
        <f t="shared" si="15"/>
        <v>16724</v>
      </c>
      <c r="X46" s="60">
        <f t="shared" si="3"/>
        <v>1410</v>
      </c>
      <c r="Y46" s="60">
        <f t="shared" si="4"/>
        <v>6556</v>
      </c>
      <c r="Z46" s="60">
        <f t="shared" si="5"/>
        <v>6773</v>
      </c>
      <c r="AA46" s="60">
        <f t="shared" si="6"/>
        <v>23306</v>
      </c>
      <c r="AB46" s="60">
        <f t="shared" si="7"/>
        <v>6671</v>
      </c>
      <c r="AC46" s="60">
        <f t="shared" si="8"/>
        <v>7760</v>
      </c>
      <c r="AD46" s="60">
        <f t="shared" si="9"/>
        <v>40863.5</v>
      </c>
      <c r="AE46" s="60">
        <f t="shared" si="10"/>
        <v>9305.2</v>
      </c>
      <c r="AF46" s="60">
        <f t="shared" si="11"/>
        <v>10673.1</v>
      </c>
      <c r="AG46" s="60">
        <f t="shared" si="12"/>
        <v>2476.7</v>
      </c>
      <c r="AH46" s="60">
        <f t="shared" si="13"/>
        <v>18408.5</v>
      </c>
      <c r="AI46" s="60">
        <f t="shared" si="14"/>
        <v>18640</v>
      </c>
    </row>
    <row r="47" spans="1:35" ht="12.75">
      <c r="A47" s="62">
        <v>2003</v>
      </c>
      <c r="B47" s="73">
        <v>16916.3</v>
      </c>
      <c r="C47" s="73">
        <v>1422.9</v>
      </c>
      <c r="D47" s="73">
        <v>6725.7</v>
      </c>
      <c r="E47" s="73">
        <v>7000.9</v>
      </c>
      <c r="F47" s="73">
        <v>23841.9</v>
      </c>
      <c r="G47" s="73">
        <v>6872.7</v>
      </c>
      <c r="H47" s="73">
        <v>7881.1</v>
      </c>
      <c r="I47" s="73">
        <v>42626.5</v>
      </c>
      <c r="J47" s="73">
        <v>9994.3</v>
      </c>
      <c r="K47" s="73">
        <v>11102.6</v>
      </c>
      <c r="L47" s="73">
        <v>2536.3</v>
      </c>
      <c r="M47" s="66">
        <v>18993.3</v>
      </c>
      <c r="N47" s="73">
        <v>18968.1</v>
      </c>
      <c r="O47" s="60">
        <v>130833.2</v>
      </c>
      <c r="P47" s="60">
        <v>0</v>
      </c>
      <c r="Q47" s="60"/>
      <c r="U47" s="60">
        <f t="shared" si="2"/>
        <v>130833.2</v>
      </c>
      <c r="W47" s="60">
        <f t="shared" si="15"/>
        <v>16916.3</v>
      </c>
      <c r="X47" s="60">
        <f t="shared" si="3"/>
        <v>1422.9</v>
      </c>
      <c r="Y47" s="60">
        <f t="shared" si="4"/>
        <v>6725.7</v>
      </c>
      <c r="Z47" s="60">
        <f t="shared" si="5"/>
        <v>7000.9</v>
      </c>
      <c r="AA47" s="60">
        <f t="shared" si="6"/>
        <v>23841.9</v>
      </c>
      <c r="AB47" s="60">
        <f t="shared" si="7"/>
        <v>6872.7</v>
      </c>
      <c r="AC47" s="60">
        <f t="shared" si="8"/>
        <v>7881.1</v>
      </c>
      <c r="AD47" s="60">
        <f t="shared" si="9"/>
        <v>42626.5</v>
      </c>
      <c r="AE47" s="60">
        <f t="shared" si="10"/>
        <v>9994.3</v>
      </c>
      <c r="AF47" s="60">
        <f t="shared" si="11"/>
        <v>11102.6</v>
      </c>
      <c r="AG47" s="60">
        <f t="shared" si="12"/>
        <v>2536.3</v>
      </c>
      <c r="AH47" s="60">
        <f t="shared" si="13"/>
        <v>18993.3</v>
      </c>
      <c r="AI47" s="60">
        <f t="shared" si="14"/>
        <v>18968.1</v>
      </c>
    </row>
    <row r="48" spans="1:35" ht="12.75">
      <c r="A48" s="62">
        <v>2004</v>
      </c>
      <c r="B48" s="73">
        <v>17020.4</v>
      </c>
      <c r="C48" s="73">
        <v>1427.3</v>
      </c>
      <c r="D48" s="73">
        <v>6864.7</v>
      </c>
      <c r="E48" s="73">
        <v>7200.2</v>
      </c>
      <c r="F48" s="73">
        <v>24296.8</v>
      </c>
      <c r="G48" s="73">
        <v>7032.3</v>
      </c>
      <c r="H48" s="73">
        <v>7966.9</v>
      </c>
      <c r="I48" s="73">
        <v>44182.9</v>
      </c>
      <c r="J48" s="73">
        <v>10658.1</v>
      </c>
      <c r="K48" s="73">
        <v>11453.9</v>
      </c>
      <c r="L48" s="73">
        <v>2579.8</v>
      </c>
      <c r="M48" s="66">
        <v>19491.1</v>
      </c>
      <c r="N48" s="73">
        <v>19175.1</v>
      </c>
      <c r="O48" s="60">
        <v>133739.3</v>
      </c>
      <c r="P48" s="60">
        <v>0</v>
      </c>
      <c r="Q48" s="60"/>
      <c r="U48" s="60">
        <f t="shared" si="2"/>
        <v>133739.3</v>
      </c>
      <c r="W48" s="60">
        <f t="shared" si="15"/>
        <v>17020.4</v>
      </c>
      <c r="X48" s="60">
        <f t="shared" si="3"/>
        <v>1427.3</v>
      </c>
      <c r="Y48" s="60">
        <f t="shared" si="4"/>
        <v>6864.7</v>
      </c>
      <c r="Z48" s="60">
        <f t="shared" si="5"/>
        <v>7200.2</v>
      </c>
      <c r="AA48" s="60">
        <f t="shared" si="6"/>
        <v>24296.8</v>
      </c>
      <c r="AB48" s="60">
        <f t="shared" si="7"/>
        <v>7032.3</v>
      </c>
      <c r="AC48" s="60">
        <f t="shared" si="8"/>
        <v>7966.9</v>
      </c>
      <c r="AD48" s="60">
        <f t="shared" si="9"/>
        <v>44182.9</v>
      </c>
      <c r="AE48" s="60">
        <f t="shared" si="10"/>
        <v>10658.1</v>
      </c>
      <c r="AF48" s="60">
        <f t="shared" si="11"/>
        <v>11453.9</v>
      </c>
      <c r="AG48" s="60">
        <f t="shared" si="12"/>
        <v>2579.8</v>
      </c>
      <c r="AH48" s="60">
        <f t="shared" si="13"/>
        <v>19491.1</v>
      </c>
      <c r="AI48" s="60">
        <f t="shared" si="14"/>
        <v>19175.1</v>
      </c>
    </row>
    <row r="49" spans="1:35" ht="12.75">
      <c r="A49" s="62">
        <v>2005</v>
      </c>
      <c r="B49" s="73">
        <v>17136.9</v>
      </c>
      <c r="C49" s="73">
        <v>1432</v>
      </c>
      <c r="D49" s="73">
        <v>7011.1</v>
      </c>
      <c r="E49" s="73">
        <v>7417.9</v>
      </c>
      <c r="F49" s="73">
        <v>24773.6</v>
      </c>
      <c r="G49" s="73">
        <v>7196.2</v>
      </c>
      <c r="H49" s="73">
        <v>8056.7</v>
      </c>
      <c r="I49" s="73">
        <v>45792.4</v>
      </c>
      <c r="J49" s="73">
        <v>11357.1</v>
      </c>
      <c r="K49" s="73">
        <v>11795.6</v>
      </c>
      <c r="L49" s="73">
        <v>2623</v>
      </c>
      <c r="M49" s="66">
        <v>20016.7</v>
      </c>
      <c r="N49" s="73">
        <v>19388</v>
      </c>
      <c r="O49" s="60">
        <v>136772.8</v>
      </c>
      <c r="P49" s="60">
        <v>0</v>
      </c>
      <c r="Q49" s="60"/>
      <c r="U49" s="60">
        <f t="shared" si="2"/>
        <v>136772.8</v>
      </c>
      <c r="W49" s="60">
        <f t="shared" si="15"/>
        <v>17136.9</v>
      </c>
      <c r="X49" s="60">
        <f t="shared" si="3"/>
        <v>1432</v>
      </c>
      <c r="Y49" s="60">
        <f t="shared" si="4"/>
        <v>7011.1</v>
      </c>
      <c r="Z49" s="60">
        <f t="shared" si="5"/>
        <v>7417.9</v>
      </c>
      <c r="AA49" s="60">
        <f t="shared" si="6"/>
        <v>24773.6</v>
      </c>
      <c r="AB49" s="60">
        <f t="shared" si="7"/>
        <v>7196.2</v>
      </c>
      <c r="AC49" s="60">
        <f t="shared" si="8"/>
        <v>8056.7</v>
      </c>
      <c r="AD49" s="60">
        <f t="shared" si="9"/>
        <v>45792.4</v>
      </c>
      <c r="AE49" s="60">
        <f t="shared" si="10"/>
        <v>11357.1</v>
      </c>
      <c r="AF49" s="60">
        <f t="shared" si="11"/>
        <v>11795.6</v>
      </c>
      <c r="AG49" s="60">
        <f t="shared" si="12"/>
        <v>2623</v>
      </c>
      <c r="AH49" s="60">
        <f t="shared" si="13"/>
        <v>20016.7</v>
      </c>
      <c r="AI49" s="60">
        <f t="shared" si="14"/>
        <v>19388</v>
      </c>
    </row>
    <row r="50" spans="1:35" ht="12.75">
      <c r="A50" s="62">
        <v>2006</v>
      </c>
      <c r="B50" s="73">
        <v>17258.7</v>
      </c>
      <c r="C50" s="73">
        <v>1437.1</v>
      </c>
      <c r="D50" s="73">
        <v>7160.9</v>
      </c>
      <c r="E50" s="73">
        <v>7640.8</v>
      </c>
      <c r="F50" s="73">
        <v>25263.3</v>
      </c>
      <c r="G50" s="73">
        <v>7364.5</v>
      </c>
      <c r="H50" s="73">
        <v>8149</v>
      </c>
      <c r="I50" s="73">
        <v>47460.8</v>
      </c>
      <c r="J50" s="73">
        <v>12093.6</v>
      </c>
      <c r="K50" s="73">
        <v>12129.4</v>
      </c>
      <c r="L50" s="73">
        <v>2665.9</v>
      </c>
      <c r="M50" s="66">
        <v>20571.9</v>
      </c>
      <c r="N50" s="73">
        <v>19607.5</v>
      </c>
      <c r="O50" s="60">
        <v>139905.5</v>
      </c>
      <c r="P50" s="60">
        <v>0</v>
      </c>
      <c r="Q50" s="60"/>
      <c r="U50" s="60">
        <f t="shared" si="2"/>
        <v>139905.5</v>
      </c>
      <c r="W50" s="60">
        <f t="shared" si="15"/>
        <v>17258.7</v>
      </c>
      <c r="X50" s="60">
        <f t="shared" si="3"/>
        <v>1437.1</v>
      </c>
      <c r="Y50" s="60">
        <f t="shared" si="4"/>
        <v>7160.9</v>
      </c>
      <c r="Z50" s="60">
        <f t="shared" si="5"/>
        <v>7640.8</v>
      </c>
      <c r="AA50" s="60">
        <f t="shared" si="6"/>
        <v>25263.3</v>
      </c>
      <c r="AB50" s="60">
        <f t="shared" si="7"/>
        <v>7364.5</v>
      </c>
      <c r="AC50" s="60">
        <f t="shared" si="8"/>
        <v>8149</v>
      </c>
      <c r="AD50" s="60">
        <f t="shared" si="9"/>
        <v>47460.8</v>
      </c>
      <c r="AE50" s="60">
        <f t="shared" si="10"/>
        <v>12093.6</v>
      </c>
      <c r="AF50" s="60">
        <f t="shared" si="11"/>
        <v>12129.4</v>
      </c>
      <c r="AG50" s="60">
        <f t="shared" si="12"/>
        <v>2665.9</v>
      </c>
      <c r="AH50" s="60">
        <f t="shared" si="13"/>
        <v>20571.9</v>
      </c>
      <c r="AI50" s="60">
        <f t="shared" si="14"/>
        <v>19607.5</v>
      </c>
    </row>
    <row r="51" spans="1:35" ht="12.75">
      <c r="A51" s="62">
        <v>2007</v>
      </c>
      <c r="B51" s="73">
        <v>17385.2</v>
      </c>
      <c r="C51" s="73">
        <v>1442.5</v>
      </c>
      <c r="D51" s="73">
        <v>7314.1</v>
      </c>
      <c r="E51" s="73">
        <v>7868.7</v>
      </c>
      <c r="F51" s="73">
        <v>25765.7</v>
      </c>
      <c r="G51" s="73">
        <v>7537.1</v>
      </c>
      <c r="H51" s="73">
        <v>8243.5</v>
      </c>
      <c r="I51" s="73">
        <v>49189.6</v>
      </c>
      <c r="J51" s="73">
        <v>12869.5</v>
      </c>
      <c r="K51" s="73">
        <v>12456.2</v>
      </c>
      <c r="L51" s="73">
        <v>2708.5</v>
      </c>
      <c r="M51" s="66">
        <v>21155.4</v>
      </c>
      <c r="N51" s="73">
        <v>19833.3</v>
      </c>
      <c r="O51" s="60">
        <v>143137.2</v>
      </c>
      <c r="P51" s="60">
        <v>0</v>
      </c>
      <c r="Q51" s="60"/>
      <c r="U51" s="60">
        <f t="shared" si="2"/>
        <v>143137.2</v>
      </c>
      <c r="W51" s="60">
        <f t="shared" si="15"/>
        <v>17385.2</v>
      </c>
      <c r="X51" s="60">
        <f t="shared" si="3"/>
        <v>1442.5</v>
      </c>
      <c r="Y51" s="60">
        <f t="shared" si="4"/>
        <v>7314.1</v>
      </c>
      <c r="Z51" s="60">
        <f t="shared" si="5"/>
        <v>7868.7</v>
      </c>
      <c r="AA51" s="60">
        <f t="shared" si="6"/>
        <v>25765.7</v>
      </c>
      <c r="AB51" s="60">
        <f t="shared" si="7"/>
        <v>7537.1</v>
      </c>
      <c r="AC51" s="60">
        <f t="shared" si="8"/>
        <v>8243.5</v>
      </c>
      <c r="AD51" s="60">
        <f t="shared" si="9"/>
        <v>49189.6</v>
      </c>
      <c r="AE51" s="60">
        <f t="shared" si="10"/>
        <v>12869.5</v>
      </c>
      <c r="AF51" s="60">
        <f t="shared" si="11"/>
        <v>12456.2</v>
      </c>
      <c r="AG51" s="60">
        <f t="shared" si="12"/>
        <v>2708.5</v>
      </c>
      <c r="AH51" s="60">
        <f t="shared" si="13"/>
        <v>21155.4</v>
      </c>
      <c r="AI51" s="60">
        <f t="shared" si="14"/>
        <v>19833.3</v>
      </c>
    </row>
    <row r="52" spans="1:35" ht="12.75">
      <c r="A52" s="62">
        <v>2008</v>
      </c>
      <c r="B52" s="73">
        <v>17516.2</v>
      </c>
      <c r="C52" s="73">
        <v>1448.1</v>
      </c>
      <c r="D52" s="73">
        <v>7470.4</v>
      </c>
      <c r="E52" s="73">
        <v>8101.6</v>
      </c>
      <c r="F52" s="73">
        <v>26280.3</v>
      </c>
      <c r="G52" s="73">
        <v>7714</v>
      </c>
      <c r="H52" s="73">
        <v>8340.1</v>
      </c>
      <c r="I52" s="73">
        <v>50979.7</v>
      </c>
      <c r="J52" s="73">
        <v>13686.1</v>
      </c>
      <c r="K52" s="73">
        <v>12776.6</v>
      </c>
      <c r="L52" s="73">
        <v>2750.9</v>
      </c>
      <c r="M52" s="66">
        <v>21766.1</v>
      </c>
      <c r="N52" s="73">
        <v>20064.8</v>
      </c>
      <c r="O52" s="60">
        <v>146467.1</v>
      </c>
      <c r="P52" s="60">
        <v>0</v>
      </c>
      <c r="Q52" s="60"/>
      <c r="U52" s="60">
        <f t="shared" si="2"/>
        <v>146467.1</v>
      </c>
      <c r="W52" s="60">
        <f t="shared" si="15"/>
        <v>17516.2</v>
      </c>
      <c r="X52" s="60">
        <f t="shared" si="3"/>
        <v>1448.1</v>
      </c>
      <c r="Y52" s="60">
        <f t="shared" si="4"/>
        <v>7470.4</v>
      </c>
      <c r="Z52" s="60">
        <f t="shared" si="5"/>
        <v>8101.6</v>
      </c>
      <c r="AA52" s="60">
        <f t="shared" si="6"/>
        <v>26280.3</v>
      </c>
      <c r="AB52" s="60">
        <f t="shared" si="7"/>
        <v>7714</v>
      </c>
      <c r="AC52" s="60">
        <f t="shared" si="8"/>
        <v>8340.1</v>
      </c>
      <c r="AD52" s="60">
        <f t="shared" si="9"/>
        <v>50979.7</v>
      </c>
      <c r="AE52" s="60">
        <f t="shared" si="10"/>
        <v>13686.1</v>
      </c>
      <c r="AF52" s="60">
        <f t="shared" si="11"/>
        <v>12776.6</v>
      </c>
      <c r="AG52" s="60">
        <f t="shared" si="12"/>
        <v>2750.9</v>
      </c>
      <c r="AH52" s="60">
        <f t="shared" si="13"/>
        <v>21766.1</v>
      </c>
      <c r="AI52" s="60">
        <f t="shared" si="14"/>
        <v>20064.8</v>
      </c>
    </row>
    <row r="53" spans="1:35" ht="12.75">
      <c r="A53" s="62">
        <v>2009</v>
      </c>
      <c r="B53" s="73">
        <v>17651</v>
      </c>
      <c r="C53" s="73">
        <v>1453.9</v>
      </c>
      <c r="D53" s="73">
        <v>7629.7</v>
      </c>
      <c r="E53" s="73">
        <v>8339.3</v>
      </c>
      <c r="F53" s="73">
        <v>26806.9</v>
      </c>
      <c r="G53" s="73">
        <v>7895</v>
      </c>
      <c r="H53" s="73">
        <v>8438.6</v>
      </c>
      <c r="I53" s="73">
        <v>52831.9</v>
      </c>
      <c r="J53" s="73">
        <v>14545.1</v>
      </c>
      <c r="K53" s="73">
        <v>13091</v>
      </c>
      <c r="L53" s="73">
        <v>2793</v>
      </c>
      <c r="M53" s="66">
        <v>22402.8</v>
      </c>
      <c r="N53" s="73">
        <v>20301.8</v>
      </c>
      <c r="O53" s="60">
        <v>149894.2</v>
      </c>
      <c r="P53" s="60">
        <v>0</v>
      </c>
      <c r="Q53" s="60"/>
      <c r="U53" s="60">
        <f t="shared" si="2"/>
        <v>149894.2</v>
      </c>
      <c r="W53" s="60">
        <f t="shared" si="15"/>
        <v>17651</v>
      </c>
      <c r="X53" s="60">
        <f t="shared" si="3"/>
        <v>1453.9</v>
      </c>
      <c r="Y53" s="60">
        <f t="shared" si="4"/>
        <v>7629.7</v>
      </c>
      <c r="Z53" s="60">
        <f t="shared" si="5"/>
        <v>8339.3</v>
      </c>
      <c r="AA53" s="60">
        <f t="shared" si="6"/>
        <v>26806.9</v>
      </c>
      <c r="AB53" s="60">
        <f t="shared" si="7"/>
        <v>7895</v>
      </c>
      <c r="AC53" s="60">
        <f t="shared" si="8"/>
        <v>8438.6</v>
      </c>
      <c r="AD53" s="60">
        <f t="shared" si="9"/>
        <v>52831.9</v>
      </c>
      <c r="AE53" s="60">
        <f t="shared" si="10"/>
        <v>14545.1</v>
      </c>
      <c r="AF53" s="60">
        <f t="shared" si="11"/>
        <v>13091</v>
      </c>
      <c r="AG53" s="60">
        <f t="shared" si="12"/>
        <v>2793</v>
      </c>
      <c r="AH53" s="60">
        <f t="shared" si="13"/>
        <v>22402.8</v>
      </c>
      <c r="AI53" s="60">
        <f t="shared" si="14"/>
        <v>20301.8</v>
      </c>
    </row>
    <row r="54" spans="1:35" ht="12.75">
      <c r="A54" s="69">
        <v>2010</v>
      </c>
      <c r="B54" s="73">
        <v>17798.5</v>
      </c>
      <c r="C54" s="73">
        <v>1458.7</v>
      </c>
      <c r="D54" s="73">
        <v>7799.4</v>
      </c>
      <c r="E54" s="73">
        <v>8578.8</v>
      </c>
      <c r="F54" s="73">
        <v>27372.6</v>
      </c>
      <c r="G54" s="73">
        <v>8087.4</v>
      </c>
      <c r="H54" s="73">
        <v>8550.5</v>
      </c>
      <c r="I54" s="73">
        <v>54846.7</v>
      </c>
      <c r="J54" s="73">
        <v>15472.3</v>
      </c>
      <c r="K54" s="73">
        <v>13410.5</v>
      </c>
      <c r="L54" s="73">
        <v>2835</v>
      </c>
      <c r="M54" s="66">
        <v>23128.9</v>
      </c>
      <c r="N54" s="73">
        <v>20543.8</v>
      </c>
      <c r="O54" s="60">
        <v>153577.7</v>
      </c>
      <c r="P54" s="60">
        <v>0</v>
      </c>
      <c r="Q54" s="60"/>
      <c r="U54" s="60">
        <f t="shared" si="2"/>
        <v>153577.7</v>
      </c>
      <c r="W54" s="60">
        <f t="shared" si="15"/>
        <v>17798.5</v>
      </c>
      <c r="X54" s="60">
        <f t="shared" si="3"/>
        <v>1458.7</v>
      </c>
      <c r="Y54" s="60">
        <f t="shared" si="4"/>
        <v>7799.4</v>
      </c>
      <c r="Z54" s="60">
        <f t="shared" si="5"/>
        <v>8578.8</v>
      </c>
      <c r="AA54" s="60">
        <f t="shared" si="6"/>
        <v>27372.6</v>
      </c>
      <c r="AB54" s="60">
        <f t="shared" si="7"/>
        <v>8087.4</v>
      </c>
      <c r="AC54" s="60">
        <f t="shared" si="8"/>
        <v>8550.5</v>
      </c>
      <c r="AD54" s="60">
        <f t="shared" si="9"/>
        <v>54846.7</v>
      </c>
      <c r="AE54" s="60">
        <f t="shared" si="10"/>
        <v>15472.3</v>
      </c>
      <c r="AF54" s="60">
        <f t="shared" si="11"/>
        <v>13410.5</v>
      </c>
      <c r="AG54" s="60">
        <f t="shared" si="12"/>
        <v>2835</v>
      </c>
      <c r="AH54" s="60">
        <f t="shared" si="13"/>
        <v>23128.9</v>
      </c>
      <c r="AI54" s="60">
        <f t="shared" si="14"/>
        <v>20543.8</v>
      </c>
    </row>
    <row r="55" spans="1:37" ht="12.75">
      <c r="A55" s="62">
        <v>2011</v>
      </c>
      <c r="B55" s="73">
        <v>17903.2</v>
      </c>
      <c r="C55" s="73">
        <v>1467.6</v>
      </c>
      <c r="D55" s="73">
        <v>7909.9</v>
      </c>
      <c r="E55" s="73">
        <v>8749.7</v>
      </c>
      <c r="F55" s="73">
        <v>27808.3</v>
      </c>
      <c r="G55" s="73">
        <v>8243.5</v>
      </c>
      <c r="H55" s="73">
        <v>8657.9</v>
      </c>
      <c r="I55" s="73">
        <v>56080.3</v>
      </c>
      <c r="J55" s="73">
        <v>15823.5</v>
      </c>
      <c r="K55" s="73">
        <v>13734.1</v>
      </c>
      <c r="L55" s="73">
        <v>2864.3</v>
      </c>
      <c r="M55" s="66">
        <v>23658.4</v>
      </c>
      <c r="N55" s="73">
        <v>20836.6</v>
      </c>
      <c r="O55" s="60">
        <v>156189.4</v>
      </c>
      <c r="P55" s="60">
        <v>0</v>
      </c>
      <c r="Q55" s="60"/>
      <c r="U55" s="60">
        <f>(O55-O54)/(O$59-O$54)*(U$59-U$54)+U54</f>
        <v>153577.7</v>
      </c>
      <c r="W55" s="60">
        <f>ROUND((NationalDataInterm!W55/NationalDataInterm!B55)*B55,1)</f>
        <v>17861.1</v>
      </c>
      <c r="X55" s="60">
        <f>ROUND((NationalDataInterm!X55/NationalDataInterm!C55)*C55,1)</f>
        <v>1464.1</v>
      </c>
      <c r="Y55" s="60">
        <f>ROUND((NationalDataInterm!Y55/NationalDataInterm!D55)*D55,1)</f>
        <v>7891.3</v>
      </c>
      <c r="Z55" s="60">
        <f>ROUND((NationalDataInterm!Z55/NationalDataInterm!E55)*E55,1)</f>
        <v>8729.1</v>
      </c>
      <c r="AA55" s="60">
        <f>ROUND((NationalDataInterm!AA55/NationalDataInterm!F55)*F55,1)</f>
        <v>27742.9</v>
      </c>
      <c r="AB55" s="60">
        <f>ROUND((NationalDataInterm!AB55/NationalDataInterm!G55)*G55,1)</f>
        <v>8224.1</v>
      </c>
      <c r="AC55" s="60">
        <f>ROUND((NationalDataInterm!AC55/NationalDataInterm!H55)*H55,1)</f>
        <v>8637.5</v>
      </c>
      <c r="AD55" s="60">
        <f>ROUND((NationalDataInterm!AD55/NationalDataInterm!I55)*I55,1)</f>
        <v>55948.5</v>
      </c>
      <c r="AE55" s="60">
        <f>ROUND((NationalDataInterm!AE55/NationalDataInterm!J55)*J55,1)</f>
        <v>15786.3</v>
      </c>
      <c r="AF55" s="60">
        <f>ROUND((NationalDataInterm!AF55/NationalDataInterm!K55)*K55,1)</f>
        <v>13701.8</v>
      </c>
      <c r="AG55" s="60">
        <f>ROUND((NationalDataInterm!AG55/NationalDataInterm!L55)*L55,1)</f>
        <v>2857.6</v>
      </c>
      <c r="AH55" s="60">
        <f>ROUND((NationalDataInterm!AH55/NationalDataInterm!M55)*M55,1)</f>
        <v>23602.8</v>
      </c>
      <c r="AI55" s="60">
        <f>ROUND((NationalDataInterm!AI55/NationalDataInterm!N55)*N55,1)</f>
        <v>20787.6</v>
      </c>
      <c r="AK55" s="60">
        <f>AD55-SUM(AE55:AH55)</f>
        <v>0</v>
      </c>
    </row>
    <row r="56" spans="1:37" ht="12.75">
      <c r="A56" s="62">
        <v>2012</v>
      </c>
      <c r="B56" s="73">
        <v>18020.9</v>
      </c>
      <c r="C56" s="73">
        <v>1476.3</v>
      </c>
      <c r="D56" s="73">
        <v>8021.3</v>
      </c>
      <c r="E56" s="73">
        <v>8922.5</v>
      </c>
      <c r="F56" s="73">
        <v>28257.9</v>
      </c>
      <c r="G56" s="73">
        <v>8390.7</v>
      </c>
      <c r="H56" s="73">
        <v>8770.6</v>
      </c>
      <c r="I56" s="73">
        <v>57400.2</v>
      </c>
      <c r="J56" s="73">
        <v>16443.8</v>
      </c>
      <c r="K56" s="73">
        <v>14074.8</v>
      </c>
      <c r="L56" s="73">
        <v>2895.5</v>
      </c>
      <c r="M56" s="66">
        <v>23986.1</v>
      </c>
      <c r="N56" s="73">
        <v>21137.1</v>
      </c>
      <c r="O56" s="60">
        <v>158921.2</v>
      </c>
      <c r="P56" s="60">
        <v>0</v>
      </c>
      <c r="Q56" s="60"/>
      <c r="U56" s="60">
        <f>(O56-O55)/(O$59-O$54)*(U$59-U$54)+U55</f>
        <v>153577.7</v>
      </c>
      <c r="W56" s="60">
        <f>ROUND((NationalDataInterm!W56/NationalDataInterm!B56)*B56,1)</f>
        <v>17935.7</v>
      </c>
      <c r="X56" s="60">
        <f>ROUND((NationalDataInterm!X56/NationalDataInterm!C56)*C56,1)</f>
        <v>1469.3</v>
      </c>
      <c r="Y56" s="60">
        <f>ROUND((NationalDataInterm!Y56/NationalDataInterm!D56)*D56,1)</f>
        <v>7983.4</v>
      </c>
      <c r="Z56" s="60">
        <f>ROUND((NationalDataInterm!Z56/NationalDataInterm!E56)*E56,1)</f>
        <v>8880.3</v>
      </c>
      <c r="AA56" s="60">
        <f>ROUND((NationalDataInterm!AA56/NationalDataInterm!F56)*F56,1)</f>
        <v>28124.2</v>
      </c>
      <c r="AB56" s="60">
        <f>ROUND((NationalDataInterm!AB56/NationalDataInterm!G56)*G56,1)</f>
        <v>8351</v>
      </c>
      <c r="AC56" s="60">
        <f>ROUND((NationalDataInterm!AC56/NationalDataInterm!H56)*H56,1)</f>
        <v>8729.1</v>
      </c>
      <c r="AD56" s="60">
        <f>ROUND((NationalDataInterm!AD56/NationalDataInterm!I56)*I56,1)</f>
        <v>57128.7</v>
      </c>
      <c r="AE56" s="60">
        <f>ROUND((NationalDataInterm!AE56/NationalDataInterm!J56)*J56,1)</f>
        <v>16366</v>
      </c>
      <c r="AF56" s="60">
        <f>ROUND((NationalDataInterm!AF56/NationalDataInterm!K56)*K56,1)</f>
        <v>14008.2</v>
      </c>
      <c r="AG56" s="60">
        <f>ROUND((NationalDataInterm!AG56/NationalDataInterm!L56)*L56,1)</f>
        <v>2881.8</v>
      </c>
      <c r="AH56" s="60">
        <f>ROUND((NationalDataInterm!AH56/NationalDataInterm!M56)*M56,1)</f>
        <v>23872.6</v>
      </c>
      <c r="AI56" s="60">
        <f>ROUND((NationalDataInterm!AI56/NationalDataInterm!N56)*N56,1)</f>
        <v>21037.1</v>
      </c>
      <c r="AK56" s="60">
        <f aca="true" t="shared" si="16" ref="AK56:AK74">AD56-SUM(AE56:AH56)</f>
        <v>0.09999999999854481</v>
      </c>
    </row>
    <row r="57" spans="1:37" ht="12.75">
      <c r="A57" s="62">
        <v>2013</v>
      </c>
      <c r="B57" s="73">
        <v>18142.5</v>
      </c>
      <c r="C57" s="73">
        <v>1485.7</v>
      </c>
      <c r="D57" s="73">
        <v>8137.5</v>
      </c>
      <c r="E57" s="73">
        <v>9100.1</v>
      </c>
      <c r="F57" s="73">
        <v>28704.6</v>
      </c>
      <c r="G57" s="73">
        <v>8533.7</v>
      </c>
      <c r="H57" s="73">
        <v>8886.2</v>
      </c>
      <c r="I57" s="73">
        <v>58730</v>
      </c>
      <c r="J57" s="73">
        <v>17087.6</v>
      </c>
      <c r="K57" s="73">
        <v>14426.8</v>
      </c>
      <c r="L57" s="73">
        <v>2927.6</v>
      </c>
      <c r="M57" s="66">
        <v>24288</v>
      </c>
      <c r="N57" s="73">
        <v>21445.3</v>
      </c>
      <c r="O57" s="60">
        <v>161679.9</v>
      </c>
      <c r="P57" s="60">
        <v>0</v>
      </c>
      <c r="Q57" s="60"/>
      <c r="U57" s="60">
        <f>(O57-O56)/(O$59-O$54)*(U$59-U$54)+U56</f>
        <v>153577.7</v>
      </c>
      <c r="W57" s="60">
        <f>ROUND((NationalDataInterm!W57/NationalDataInterm!B57)*B57,1)</f>
        <v>18015</v>
      </c>
      <c r="X57" s="60">
        <f>ROUND((NationalDataInterm!X57/NationalDataInterm!C57)*C57,1)</f>
        <v>1475.3</v>
      </c>
      <c r="Y57" s="60">
        <f>ROUND((NationalDataInterm!Y57/NationalDataInterm!D57)*D57,1)</f>
        <v>8080.3</v>
      </c>
      <c r="Z57" s="60">
        <f>ROUND((NationalDataInterm!Z57/NationalDataInterm!E57)*E57,1)</f>
        <v>9036.2</v>
      </c>
      <c r="AA57" s="60">
        <f>ROUND((NationalDataInterm!AA57/NationalDataInterm!F57)*F57,1)</f>
        <v>28502.9</v>
      </c>
      <c r="AB57" s="60">
        <f>ROUND((NationalDataInterm!AB57/NationalDataInterm!G57)*G57,1)</f>
        <v>8473.7</v>
      </c>
      <c r="AC57" s="60">
        <f>ROUND((NationalDataInterm!AC57/NationalDataInterm!H57)*H57,1)</f>
        <v>8823.8</v>
      </c>
      <c r="AD57" s="60">
        <f>ROUND((NationalDataInterm!AD57/NationalDataInterm!I57)*I57,1)</f>
        <v>58317.3</v>
      </c>
      <c r="AE57" s="60">
        <f>ROUND((NationalDataInterm!AE57/NationalDataInterm!J57)*J57,1)</f>
        <v>16967.5</v>
      </c>
      <c r="AF57" s="60">
        <f>ROUND((NationalDataInterm!AF57/NationalDataInterm!K57)*K57,1)</f>
        <v>14325.4</v>
      </c>
      <c r="AG57" s="60">
        <f>ROUND((NationalDataInterm!AG57/NationalDataInterm!L57)*L57,1)</f>
        <v>2907</v>
      </c>
      <c r="AH57" s="60">
        <f>ROUND((NationalDataInterm!AH57/NationalDataInterm!M57)*M57,1)</f>
        <v>24117.3</v>
      </c>
      <c r="AI57" s="60">
        <f>ROUND((NationalDataInterm!AI57/NationalDataInterm!N57)*N57,1)</f>
        <v>21294.6</v>
      </c>
      <c r="AK57" s="60">
        <f t="shared" si="16"/>
        <v>0.10000000000582077</v>
      </c>
    </row>
    <row r="58" spans="1:37" ht="12.75">
      <c r="A58" s="62">
        <v>2014</v>
      </c>
      <c r="B58" s="73">
        <v>18267.9</v>
      </c>
      <c r="C58" s="73">
        <v>1495.4</v>
      </c>
      <c r="D58" s="73">
        <v>8256.6</v>
      </c>
      <c r="E58" s="73">
        <v>9282.6</v>
      </c>
      <c r="F58" s="73">
        <v>29160.9</v>
      </c>
      <c r="G58" s="73">
        <v>8674.2</v>
      </c>
      <c r="H58" s="73">
        <v>9004.5</v>
      </c>
      <c r="I58" s="73">
        <v>60099.1</v>
      </c>
      <c r="J58" s="73">
        <v>17755</v>
      </c>
      <c r="K58" s="73">
        <v>14789.6</v>
      </c>
      <c r="L58" s="73">
        <v>2960.6</v>
      </c>
      <c r="M58" s="66">
        <v>24593.9</v>
      </c>
      <c r="N58" s="73">
        <v>21761.2</v>
      </c>
      <c r="O58" s="60">
        <v>164507</v>
      </c>
      <c r="P58" s="60">
        <v>0</v>
      </c>
      <c r="Q58" s="60"/>
      <c r="U58" s="60">
        <f>(O58-O57)/(O$59-O$54)*(U$59-U$54)+U57</f>
        <v>153577.7</v>
      </c>
      <c r="W58" s="60">
        <f>ROUND((NationalDataInterm!W58/NationalDataInterm!B58)*B58,1)</f>
        <v>18098.2</v>
      </c>
      <c r="X58" s="60">
        <f>ROUND((NationalDataInterm!X58/NationalDataInterm!C58)*C58,1)</f>
        <v>1481.5</v>
      </c>
      <c r="Y58" s="60">
        <f>ROUND((NationalDataInterm!Y58/NationalDataInterm!D58)*D58,1)</f>
        <v>8179.9</v>
      </c>
      <c r="Z58" s="60">
        <f>ROUND((NationalDataInterm!Z58/NationalDataInterm!E58)*E58,1)</f>
        <v>9196.4</v>
      </c>
      <c r="AA58" s="60">
        <f>ROUND((NationalDataInterm!AA58/NationalDataInterm!F58)*F58,1)</f>
        <v>28890</v>
      </c>
      <c r="AB58" s="60">
        <f>ROUND((NationalDataInterm!AB58/NationalDataInterm!G58)*G58,1)</f>
        <v>8593.6</v>
      </c>
      <c r="AC58" s="60">
        <f>ROUND((NationalDataInterm!AC58/NationalDataInterm!H58)*H58,1)</f>
        <v>8920.8</v>
      </c>
      <c r="AD58" s="60">
        <f>ROUND((NationalDataInterm!AD58/NationalDataInterm!I58)*I58,1)</f>
        <v>59540.7</v>
      </c>
      <c r="AE58" s="60">
        <f>ROUND((NationalDataInterm!AE58/NationalDataInterm!J58)*J58,1)</f>
        <v>17590</v>
      </c>
      <c r="AF58" s="60">
        <f>ROUND((NationalDataInterm!AF58/NationalDataInterm!K58)*K58,1)</f>
        <v>14652.2</v>
      </c>
      <c r="AG58" s="60">
        <f>ROUND((NationalDataInterm!AG58/NationalDataInterm!L58)*L58,1)</f>
        <v>2933.1</v>
      </c>
      <c r="AH58" s="60">
        <f>ROUND((NationalDataInterm!AH58/NationalDataInterm!M58)*M58,1)</f>
        <v>24365.4</v>
      </c>
      <c r="AI58" s="60">
        <f>ROUND((NationalDataInterm!AI58/NationalDataInterm!N58)*N58,1)</f>
        <v>21559</v>
      </c>
      <c r="AK58" s="60">
        <f t="shared" si="16"/>
        <v>0</v>
      </c>
    </row>
    <row r="59" spans="1:37" ht="12.75">
      <c r="A59" s="62">
        <v>2015</v>
      </c>
      <c r="B59" s="73">
        <v>18397</v>
      </c>
      <c r="C59" s="73">
        <v>1505.4</v>
      </c>
      <c r="D59" s="73">
        <v>8378.6</v>
      </c>
      <c r="E59" s="73">
        <v>9442.3</v>
      </c>
      <c r="F59" s="73">
        <v>29627.1</v>
      </c>
      <c r="G59" s="73">
        <v>8813.6</v>
      </c>
      <c r="H59" s="73">
        <v>9125.8</v>
      </c>
      <c r="I59" s="73">
        <v>61508.6</v>
      </c>
      <c r="J59" s="73">
        <v>18446.7</v>
      </c>
      <c r="K59" s="73">
        <v>15163.7</v>
      </c>
      <c r="L59" s="73">
        <v>2994.5</v>
      </c>
      <c r="M59" s="66">
        <v>24903.7</v>
      </c>
      <c r="N59" s="73">
        <v>22084.8</v>
      </c>
      <c r="O59" s="60">
        <v>167377.8</v>
      </c>
      <c r="P59" s="60">
        <v>0</v>
      </c>
      <c r="Q59" s="60"/>
      <c r="U59" s="73">
        <f>U54*(1+S95)</f>
        <v>153577.7</v>
      </c>
      <c r="W59" s="60">
        <f>ROUND((NationalDataInterm!W59/NationalDataInterm!B59)*B59,1)</f>
        <v>18185.5</v>
      </c>
      <c r="X59" s="60">
        <f>ROUND((NationalDataInterm!X59/NationalDataInterm!C59)*C59,1)</f>
        <v>1488.1</v>
      </c>
      <c r="Y59" s="60">
        <f>ROUND((NationalDataInterm!Y59/NationalDataInterm!D59)*D59,1)</f>
        <v>8282.3</v>
      </c>
      <c r="Z59" s="60">
        <f>ROUND((NationalDataInterm!Z59/NationalDataInterm!E59)*E59,1)</f>
        <v>9333.7</v>
      </c>
      <c r="AA59" s="60">
        <f>ROUND((NationalDataInterm!AA59/NationalDataInterm!F59)*F59,1)</f>
        <v>29286.5</v>
      </c>
      <c r="AB59" s="60">
        <f>ROUND((NationalDataInterm!AB59/NationalDataInterm!G59)*G59,1)</f>
        <v>8712.3</v>
      </c>
      <c r="AC59" s="60">
        <f>ROUND((NationalDataInterm!AC59/NationalDataInterm!H59)*H59,1)</f>
        <v>9020.9</v>
      </c>
      <c r="AD59" s="60">
        <f>ROUND((NationalDataInterm!AD59/NationalDataInterm!I59)*I59,1)</f>
        <v>60801.5</v>
      </c>
      <c r="AE59" s="60">
        <f>ROUND((NationalDataInterm!AE59/NationalDataInterm!J59)*J59,1)</f>
        <v>18234.6</v>
      </c>
      <c r="AF59" s="60">
        <f>ROUND((NationalDataInterm!AF59/NationalDataInterm!K59)*K59,1)</f>
        <v>14989.4</v>
      </c>
      <c r="AG59" s="60">
        <f>ROUND((NationalDataInterm!AG59/NationalDataInterm!L59)*L59,1)</f>
        <v>2960.1</v>
      </c>
      <c r="AH59" s="60">
        <f>ROUND((NationalDataInterm!AH59/NationalDataInterm!M59)*M59,1)</f>
        <v>24617.4</v>
      </c>
      <c r="AI59" s="60">
        <f>ROUND((NationalDataInterm!AI59/NationalDataInterm!N59)*N59,1)</f>
        <v>21830.9</v>
      </c>
      <c r="AK59" s="60">
        <f t="shared" si="16"/>
        <v>0</v>
      </c>
    </row>
    <row r="60" spans="1:37" ht="12.75">
      <c r="A60" s="62">
        <v>2016</v>
      </c>
      <c r="B60" s="73">
        <v>18530</v>
      </c>
      <c r="C60" s="73">
        <v>1515.8</v>
      </c>
      <c r="D60" s="73">
        <v>8496.3</v>
      </c>
      <c r="E60" s="73">
        <v>9585.2</v>
      </c>
      <c r="F60" s="73">
        <v>30102.9</v>
      </c>
      <c r="G60" s="73">
        <v>8952.9</v>
      </c>
      <c r="H60" s="73">
        <v>9246.3</v>
      </c>
      <c r="I60" s="73">
        <v>62958.9</v>
      </c>
      <c r="J60" s="73">
        <v>19163.5</v>
      </c>
      <c r="K60" s="73">
        <v>15549.1</v>
      </c>
      <c r="L60" s="73">
        <v>3028.7</v>
      </c>
      <c r="M60" s="66">
        <v>25217.6</v>
      </c>
      <c r="N60" s="73">
        <v>22413.2</v>
      </c>
      <c r="O60" s="60">
        <v>170285.7</v>
      </c>
      <c r="P60" s="60">
        <v>0</v>
      </c>
      <c r="Q60" s="60"/>
      <c r="U60" s="60">
        <f>(O60-O59)/(O$64-O$59)*(U$64-U$59)+U59</f>
        <v>153577.7</v>
      </c>
      <c r="W60" s="60">
        <f>ROUND((NationalDataInterm!W60/NationalDataInterm!B60)*B60,1)</f>
        <v>18243.5</v>
      </c>
      <c r="X60" s="60">
        <f>ROUND((NationalDataInterm!X60/NationalDataInterm!C60)*C60,1)</f>
        <v>1492.4</v>
      </c>
      <c r="Y60" s="60">
        <f>ROUND((NationalDataInterm!Y60/NationalDataInterm!D60)*D60,1)</f>
        <v>8364.9</v>
      </c>
      <c r="Z60" s="60">
        <f>ROUND((NationalDataInterm!Z60/NationalDataInterm!E60)*E60,1)</f>
        <v>9437</v>
      </c>
      <c r="AA60" s="60">
        <f>ROUND((NationalDataInterm!AA60/NationalDataInterm!F60)*F60,1)</f>
        <v>29637.5</v>
      </c>
      <c r="AB60" s="60">
        <f>ROUND((NationalDataInterm!AB60/NationalDataInterm!G60)*G60,1)</f>
        <v>8814.5</v>
      </c>
      <c r="AC60" s="60">
        <f>ROUND((NationalDataInterm!AC60/NationalDataInterm!H60)*H60,1)</f>
        <v>9103.3</v>
      </c>
      <c r="AD60" s="60">
        <f>ROUND((NationalDataInterm!AD60/NationalDataInterm!I60)*I60,1)</f>
        <v>61985.5</v>
      </c>
      <c r="AE60" s="60">
        <f>ROUND((NationalDataInterm!AE60/NationalDataInterm!J60)*J60,1)</f>
        <v>18867.2</v>
      </c>
      <c r="AF60" s="60">
        <f>ROUND((NationalDataInterm!AF60/NationalDataInterm!K60)*K60,1)</f>
        <v>15308.7</v>
      </c>
      <c r="AG60" s="60">
        <f>ROUND((NationalDataInterm!AG60/NationalDataInterm!L60)*L60,1)</f>
        <v>2981.9</v>
      </c>
      <c r="AH60" s="60">
        <f>ROUND((NationalDataInterm!AH60/NationalDataInterm!M60)*M60,1)</f>
        <v>24827.7</v>
      </c>
      <c r="AI60" s="60">
        <f>ROUND((NationalDataInterm!AI60/NationalDataInterm!N60)*N60,1)</f>
        <v>22066.7</v>
      </c>
      <c r="AK60" s="60">
        <f t="shared" si="16"/>
        <v>0</v>
      </c>
    </row>
    <row r="61" spans="1:37" ht="12.75">
      <c r="A61" s="62">
        <v>2017</v>
      </c>
      <c r="B61" s="73">
        <v>18666.4</v>
      </c>
      <c r="C61" s="73">
        <v>1526.5</v>
      </c>
      <c r="D61" s="73">
        <v>8616.6</v>
      </c>
      <c r="E61" s="73">
        <v>9729.8</v>
      </c>
      <c r="F61" s="73">
        <v>30588.5</v>
      </c>
      <c r="G61" s="73">
        <v>9092.9</v>
      </c>
      <c r="H61" s="73">
        <v>9369.6</v>
      </c>
      <c r="I61" s="73">
        <v>64451.1</v>
      </c>
      <c r="J61" s="73">
        <v>19906.2</v>
      </c>
      <c r="K61" s="73">
        <v>15946.2</v>
      </c>
      <c r="L61" s="73">
        <v>3063.8</v>
      </c>
      <c r="M61" s="66">
        <v>25534.9</v>
      </c>
      <c r="N61" s="73">
        <v>22749.3</v>
      </c>
      <c r="O61" s="60">
        <v>173264.2</v>
      </c>
      <c r="P61" s="60">
        <v>0</v>
      </c>
      <c r="Q61" s="60"/>
      <c r="U61" s="60">
        <f>(O61-O60)/(O$64-O$59)*(U$64-U$59)+U60</f>
        <v>153577.7</v>
      </c>
      <c r="W61" s="60">
        <f>ROUND((NationalDataInterm!W61/NationalDataInterm!B61)*B61,1)</f>
        <v>18304.7</v>
      </c>
      <c r="X61" s="60">
        <f>ROUND((NationalDataInterm!X61/NationalDataInterm!C61)*C61,1)</f>
        <v>1496.9</v>
      </c>
      <c r="Y61" s="60">
        <f>ROUND((NationalDataInterm!Y61/NationalDataInterm!D61)*D61,1)</f>
        <v>8449.7</v>
      </c>
      <c r="Z61" s="60">
        <f>ROUND((NationalDataInterm!Z61/NationalDataInterm!E61)*E61,1)</f>
        <v>9541.3</v>
      </c>
      <c r="AA61" s="60">
        <f>ROUND((NationalDataInterm!AA61/NationalDataInterm!F61)*F61,1)</f>
        <v>29995.8</v>
      </c>
      <c r="AB61" s="60">
        <f>ROUND((NationalDataInterm!AB61/NationalDataInterm!G61)*G61,1)</f>
        <v>8916.7</v>
      </c>
      <c r="AC61" s="60">
        <f>ROUND((NationalDataInterm!AC61/NationalDataInterm!H61)*H61,1)</f>
        <v>9188.1</v>
      </c>
      <c r="AD61" s="60">
        <f>ROUND((NationalDataInterm!AD61/NationalDataInterm!I61)*I61,1)</f>
        <v>63202.4</v>
      </c>
      <c r="AE61" s="60">
        <f>ROUND((NationalDataInterm!AE61/NationalDataInterm!J61)*J61,1)</f>
        <v>19520.5</v>
      </c>
      <c r="AF61" s="60">
        <f>ROUND((NationalDataInterm!AF61/NationalDataInterm!K61)*K61,1)</f>
        <v>15637.2</v>
      </c>
      <c r="AG61" s="60">
        <f>ROUND((NationalDataInterm!AG61/NationalDataInterm!L61)*L61,1)</f>
        <v>3004.4</v>
      </c>
      <c r="AH61" s="60">
        <f>ROUND((NationalDataInterm!AH61/NationalDataInterm!M61)*M61,1)</f>
        <v>25040.2</v>
      </c>
      <c r="AI61" s="60">
        <f>ROUND((NationalDataInterm!AI61/NationalDataInterm!N61)*N61,1)</f>
        <v>22308.5</v>
      </c>
      <c r="AK61" s="60">
        <f t="shared" si="16"/>
        <v>0.09999999999854481</v>
      </c>
    </row>
    <row r="62" spans="1:37" ht="12.75">
      <c r="A62" s="62">
        <v>2018</v>
      </c>
      <c r="B62" s="73">
        <v>18806.5</v>
      </c>
      <c r="C62" s="73">
        <v>1537.3</v>
      </c>
      <c r="D62" s="73">
        <v>8739.8</v>
      </c>
      <c r="E62" s="73">
        <v>9876.4</v>
      </c>
      <c r="F62" s="73">
        <v>31083.9</v>
      </c>
      <c r="G62" s="73">
        <v>9233.9</v>
      </c>
      <c r="H62" s="73">
        <v>9495.6</v>
      </c>
      <c r="I62" s="73">
        <v>65986.1</v>
      </c>
      <c r="J62" s="73">
        <v>20675.7</v>
      </c>
      <c r="K62" s="73">
        <v>16355.4</v>
      </c>
      <c r="L62" s="73">
        <v>3099.8</v>
      </c>
      <c r="M62" s="66">
        <v>25855.2</v>
      </c>
      <c r="N62" s="73">
        <v>23093.1</v>
      </c>
      <c r="O62" s="60">
        <v>176315.3</v>
      </c>
      <c r="P62" s="60">
        <v>0</v>
      </c>
      <c r="Q62" s="60"/>
      <c r="U62" s="60">
        <f>(O62-O61)/(O$64-O$59)*(U$64-U$59)+U61</f>
        <v>153577.7</v>
      </c>
      <c r="W62" s="60">
        <f>ROUND((NationalDataInterm!W62/NationalDataInterm!B62)*B62,1)</f>
        <v>18369.4</v>
      </c>
      <c r="X62" s="60">
        <f>ROUND((NationalDataInterm!X62/NationalDataInterm!C62)*C62,1)</f>
        <v>1501.6</v>
      </c>
      <c r="Y62" s="60">
        <f>ROUND((NationalDataInterm!Y62/NationalDataInterm!D62)*D62,1)</f>
        <v>8536.7</v>
      </c>
      <c r="Z62" s="60">
        <f>ROUND((NationalDataInterm!Z62/NationalDataInterm!E62)*E62,1)</f>
        <v>9646.9</v>
      </c>
      <c r="AA62" s="60">
        <f>ROUND((NationalDataInterm!AA62/NationalDataInterm!F62)*F62,1)</f>
        <v>30361.4</v>
      </c>
      <c r="AB62" s="60">
        <f>ROUND((NationalDataInterm!AB62/NationalDataInterm!G62)*G62,1)</f>
        <v>9019.3</v>
      </c>
      <c r="AC62" s="60">
        <f>ROUND((NationalDataInterm!AC62/NationalDataInterm!H62)*H62,1)</f>
        <v>9274.9</v>
      </c>
      <c r="AD62" s="60">
        <f>ROUND((NationalDataInterm!AD62/NationalDataInterm!I62)*I62,1)</f>
        <v>64452.4</v>
      </c>
      <c r="AE62" s="60">
        <f>ROUND((NationalDataInterm!AE62/NationalDataInterm!J62)*J62,1)</f>
        <v>20195.2</v>
      </c>
      <c r="AF62" s="60">
        <f>ROUND((NationalDataInterm!AF62/NationalDataInterm!K62)*K62,1)</f>
        <v>15975.3</v>
      </c>
      <c r="AG62" s="60">
        <f>ROUND((NationalDataInterm!AG62/NationalDataInterm!L62)*L62,1)</f>
        <v>3027.8</v>
      </c>
      <c r="AH62" s="60">
        <f>ROUND((NationalDataInterm!AH62/NationalDataInterm!M62)*M62,1)</f>
        <v>25254.3</v>
      </c>
      <c r="AI62" s="60">
        <f>ROUND((NationalDataInterm!AI62/NationalDataInterm!N62)*N62,1)</f>
        <v>22556.4</v>
      </c>
      <c r="AK62" s="60">
        <f t="shared" si="16"/>
        <v>-0.20000000000436557</v>
      </c>
    </row>
    <row r="63" spans="1:37" ht="12.75">
      <c r="A63" s="62">
        <v>2019</v>
      </c>
      <c r="B63" s="73">
        <v>18950.3</v>
      </c>
      <c r="C63" s="73">
        <v>1548.5</v>
      </c>
      <c r="D63" s="73">
        <v>8865.7</v>
      </c>
      <c r="E63" s="73">
        <v>10024.6</v>
      </c>
      <c r="F63" s="73">
        <v>31589.4</v>
      </c>
      <c r="G63" s="73">
        <v>9376.4</v>
      </c>
      <c r="H63" s="73">
        <v>9624.5</v>
      </c>
      <c r="I63" s="73">
        <v>67565.5</v>
      </c>
      <c r="J63" s="73">
        <v>21472.9</v>
      </c>
      <c r="K63" s="73">
        <v>16776.9</v>
      </c>
      <c r="L63" s="73">
        <v>3136.7</v>
      </c>
      <c r="M63" s="66">
        <v>26179</v>
      </c>
      <c r="N63" s="73">
        <v>23445</v>
      </c>
      <c r="O63" s="60">
        <v>179441.4</v>
      </c>
      <c r="P63" s="60">
        <v>0</v>
      </c>
      <c r="Q63" s="60"/>
      <c r="U63" s="60">
        <f>(O63-O62)/(O$64-O$59)*(U$64-U$59)+U62</f>
        <v>153577.7</v>
      </c>
      <c r="W63" s="60">
        <f>ROUND((NationalDataInterm!W63/NationalDataInterm!B63)*B63,1)</f>
        <v>18437.5</v>
      </c>
      <c r="X63" s="60">
        <f>ROUND((NationalDataInterm!X63/NationalDataInterm!C63)*C63,1)</f>
        <v>1506.6</v>
      </c>
      <c r="Y63" s="60">
        <f>ROUND((NationalDataInterm!Y63/NationalDataInterm!D63)*D63,1)</f>
        <v>8625.8</v>
      </c>
      <c r="Z63" s="60">
        <f>ROUND((NationalDataInterm!Z63/NationalDataInterm!E63)*E63,1)</f>
        <v>9753.3</v>
      </c>
      <c r="AA63" s="60">
        <f>ROUND((NationalDataInterm!AA63/NationalDataInterm!F63)*F63,1)</f>
        <v>30734.5</v>
      </c>
      <c r="AB63" s="60">
        <f>ROUND((NationalDataInterm!AB63/NationalDataInterm!G63)*G63,1)</f>
        <v>9122.7</v>
      </c>
      <c r="AC63" s="60">
        <f>ROUND((NationalDataInterm!AC63/NationalDataInterm!H63)*H63,1)</f>
        <v>9364</v>
      </c>
      <c r="AD63" s="60">
        <f>ROUND((NationalDataInterm!AD63/NationalDataInterm!I63)*I63,1)</f>
        <v>65737</v>
      </c>
      <c r="AE63" s="60">
        <f>ROUND((NationalDataInterm!AE63/NationalDataInterm!J63)*J63,1)</f>
        <v>20891.8</v>
      </c>
      <c r="AF63" s="60">
        <f>ROUND((NationalDataInterm!AF63/NationalDataInterm!K63)*K63,1)</f>
        <v>16322.9</v>
      </c>
      <c r="AG63" s="60">
        <f>ROUND((NationalDataInterm!AG63/NationalDataInterm!L63)*L63,1)</f>
        <v>3051.8</v>
      </c>
      <c r="AH63" s="60">
        <f>ROUND((NationalDataInterm!AH63/NationalDataInterm!M63)*M63,1)</f>
        <v>25470.5</v>
      </c>
      <c r="AI63" s="60">
        <f>ROUND((NationalDataInterm!AI63/NationalDataInterm!N63)*N63,1)</f>
        <v>22810.5</v>
      </c>
      <c r="AK63" s="60">
        <f t="shared" si="16"/>
        <v>0</v>
      </c>
    </row>
    <row r="64" spans="1:37" ht="12.75">
      <c r="A64" s="62">
        <v>2020</v>
      </c>
      <c r="B64" s="73">
        <v>19097.7</v>
      </c>
      <c r="C64" s="73">
        <v>1560</v>
      </c>
      <c r="D64" s="73">
        <v>8994.5</v>
      </c>
      <c r="E64" s="73">
        <v>10174.7</v>
      </c>
      <c r="F64" s="73">
        <v>32105.1</v>
      </c>
      <c r="G64" s="73">
        <v>9520.4</v>
      </c>
      <c r="H64" s="73">
        <v>9756.3</v>
      </c>
      <c r="I64" s="73">
        <v>69190.4</v>
      </c>
      <c r="J64" s="73">
        <v>22299.1</v>
      </c>
      <c r="K64" s="73">
        <v>17211.3</v>
      </c>
      <c r="L64" s="73">
        <v>3174.6</v>
      </c>
      <c r="M64" s="66">
        <v>26505.4</v>
      </c>
      <c r="N64" s="73">
        <v>23805</v>
      </c>
      <c r="O64" s="60">
        <v>182644.1</v>
      </c>
      <c r="P64" s="60">
        <v>0</v>
      </c>
      <c r="Q64" s="60"/>
      <c r="U64" s="123">
        <f>U59*(1+S96)</f>
        <v>153577.7</v>
      </c>
      <c r="W64" s="60">
        <f>ROUND((NationalDataInterm!W64/NationalDataInterm!B64)*B64,1)</f>
        <v>18508.8</v>
      </c>
      <c r="X64" s="60">
        <f>ROUND((NationalDataInterm!X64/NationalDataInterm!C64)*C64,1)</f>
        <v>1511.9</v>
      </c>
      <c r="Y64" s="60">
        <f>ROUND((NationalDataInterm!Y64/NationalDataInterm!D64)*D64,1)</f>
        <v>8717.1</v>
      </c>
      <c r="Z64" s="60">
        <f>ROUND((NationalDataInterm!Z64/NationalDataInterm!E64)*E64,1)</f>
        <v>9860.9</v>
      </c>
      <c r="AA64" s="60">
        <f>ROUND((NationalDataInterm!AA64/NationalDataInterm!F64)*F64,1)</f>
        <v>31115.1</v>
      </c>
      <c r="AB64" s="60">
        <f>ROUND((NationalDataInterm!AB64/NationalDataInterm!G64)*G64,1)</f>
        <v>9226.8</v>
      </c>
      <c r="AC64" s="60">
        <f>ROUND((NationalDataInterm!AC64/NationalDataInterm!H64)*H64,1)</f>
        <v>9455.4</v>
      </c>
      <c r="AD64" s="60">
        <f>ROUND((NationalDataInterm!AD64/NationalDataInterm!I64)*I64,1)</f>
        <v>67056.8</v>
      </c>
      <c r="AE64" s="60">
        <f>ROUND((NationalDataInterm!AE64/NationalDataInterm!J64)*J64,1)</f>
        <v>21611.5</v>
      </c>
      <c r="AF64" s="60">
        <f>ROUND((NationalDataInterm!AF64/NationalDataInterm!K64)*K64,1)</f>
        <v>16680.6</v>
      </c>
      <c r="AG64" s="60">
        <f>ROUND((NationalDataInterm!AG64/NationalDataInterm!L64)*L64,1)</f>
        <v>3076.7</v>
      </c>
      <c r="AH64" s="60">
        <f>ROUND((NationalDataInterm!AH64/NationalDataInterm!M64)*M64,1)</f>
        <v>25688.1</v>
      </c>
      <c r="AI64" s="60">
        <f>ROUND((NationalDataInterm!AI64/NationalDataInterm!N64)*N64,1)</f>
        <v>23070.9</v>
      </c>
      <c r="AK64" s="60">
        <f t="shared" si="16"/>
        <v>-0.09999999999126885</v>
      </c>
    </row>
    <row r="65" spans="1:37" ht="12.75">
      <c r="A65" s="62">
        <v>2021</v>
      </c>
      <c r="B65" s="73">
        <v>19249.6</v>
      </c>
      <c r="C65" s="73">
        <v>1571.8</v>
      </c>
      <c r="D65" s="73">
        <v>9118.9</v>
      </c>
      <c r="E65" s="73">
        <v>10327</v>
      </c>
      <c r="F65" s="73">
        <v>32632.4</v>
      </c>
      <c r="G65" s="73">
        <v>9666.8</v>
      </c>
      <c r="H65" s="73">
        <v>9887.6</v>
      </c>
      <c r="I65" s="73">
        <v>70864.9</v>
      </c>
      <c r="J65" s="73">
        <v>23156</v>
      </c>
      <c r="K65" s="73">
        <v>17659.5</v>
      </c>
      <c r="L65" s="73">
        <v>3212.9</v>
      </c>
      <c r="M65" s="66">
        <v>26836.5</v>
      </c>
      <c r="N65" s="73">
        <v>24171</v>
      </c>
      <c r="O65" s="60">
        <v>185918.2</v>
      </c>
      <c r="P65" s="60">
        <v>0</v>
      </c>
      <c r="Q65" s="60"/>
      <c r="U65" s="60">
        <f>(O65-O64)/(O$69-O$64)*(U$69-U$64)+U64</f>
        <v>153577.7</v>
      </c>
      <c r="W65" s="60">
        <f>ROUND((NationalDataInterm!W65/NationalDataInterm!B65)*B65,1)</f>
        <v>18570.2</v>
      </c>
      <c r="X65" s="60">
        <f>ROUND((NationalDataInterm!X65/NationalDataInterm!C65)*C65,1)</f>
        <v>1516.3</v>
      </c>
      <c r="Y65" s="60">
        <f>ROUND((NationalDataInterm!Y65/NationalDataInterm!D65)*D65,1)</f>
        <v>8797.1</v>
      </c>
      <c r="Z65" s="60">
        <f>ROUND((NationalDataInterm!Z65/NationalDataInterm!E65)*E65,1)</f>
        <v>9962.5</v>
      </c>
      <c r="AA65" s="60">
        <f>ROUND((NationalDataInterm!AA65/NationalDataInterm!F65)*F65,1)</f>
        <v>31480.7</v>
      </c>
      <c r="AB65" s="60">
        <f>ROUND((NationalDataInterm!AB65/NationalDataInterm!G65)*G65,1)</f>
        <v>9325.6</v>
      </c>
      <c r="AC65" s="60">
        <f>ROUND((NationalDataInterm!AC65/NationalDataInterm!H65)*H65,1)</f>
        <v>9538.6</v>
      </c>
      <c r="AD65" s="60">
        <f>ROUND((NationalDataInterm!AD65/NationalDataInterm!I65)*I65,1)</f>
        <v>68363.8</v>
      </c>
      <c r="AE65" s="60">
        <f>ROUND((NationalDataInterm!AE65/NationalDataInterm!J65)*J65,1)</f>
        <v>22338.7</v>
      </c>
      <c r="AF65" s="60">
        <f>ROUND((NationalDataInterm!AF65/NationalDataInterm!K65)*K65,1)</f>
        <v>17036.2</v>
      </c>
      <c r="AG65" s="60">
        <f>ROUND((NationalDataInterm!AG65/NationalDataInterm!L65)*L65,1)</f>
        <v>3099.5</v>
      </c>
      <c r="AH65" s="60">
        <f>ROUND((NationalDataInterm!AH65/NationalDataInterm!M65)*M65,1)</f>
        <v>25889.3</v>
      </c>
      <c r="AI65" s="60">
        <f>ROUND((NationalDataInterm!AI65/NationalDataInterm!N65)*N65,1)</f>
        <v>23317.9</v>
      </c>
      <c r="AK65" s="60">
        <f t="shared" si="16"/>
        <v>0.10000000000582077</v>
      </c>
    </row>
    <row r="66" spans="1:37" ht="12.75">
      <c r="A66" s="62">
        <v>2022</v>
      </c>
      <c r="B66" s="73">
        <v>19406.7</v>
      </c>
      <c r="C66" s="73">
        <v>1584.1</v>
      </c>
      <c r="D66" s="73">
        <v>9246.7</v>
      </c>
      <c r="E66" s="73">
        <v>10481.9</v>
      </c>
      <c r="F66" s="73">
        <v>33172.9</v>
      </c>
      <c r="G66" s="73">
        <v>9815.8</v>
      </c>
      <c r="H66" s="73">
        <v>10022.6</v>
      </c>
      <c r="I66" s="73">
        <v>72593.5</v>
      </c>
      <c r="J66" s="73">
        <v>24045.7</v>
      </c>
      <c r="K66" s="73">
        <v>18122.8</v>
      </c>
      <c r="L66" s="73">
        <v>3252.4</v>
      </c>
      <c r="M66" s="66">
        <v>27172.6</v>
      </c>
      <c r="N66" s="73">
        <v>24547.4</v>
      </c>
      <c r="O66" s="60">
        <v>189287.5</v>
      </c>
      <c r="P66" s="60">
        <v>0</v>
      </c>
      <c r="Q66" s="60"/>
      <c r="U66" s="60">
        <f>(O66-O65)/(O$69-O$64)*(U$69-U$64)+U65</f>
        <v>153577.7</v>
      </c>
      <c r="W66" s="60">
        <f>ROUND((NationalDataInterm!W66/NationalDataInterm!B66)*B66,1)</f>
        <v>18636.3</v>
      </c>
      <c r="X66" s="60">
        <f>ROUND((NationalDataInterm!X66/NationalDataInterm!C66)*C66,1)</f>
        <v>1521.2</v>
      </c>
      <c r="Y66" s="60">
        <f>ROUND((NationalDataInterm!Y66/NationalDataInterm!D66)*D66,1)</f>
        <v>8879.6</v>
      </c>
      <c r="Z66" s="60">
        <f>ROUND((NationalDataInterm!Z66/NationalDataInterm!E66)*E66,1)</f>
        <v>10065.8</v>
      </c>
      <c r="AA66" s="60">
        <f>ROUND((NationalDataInterm!AA66/NationalDataInterm!F66)*F66,1)</f>
        <v>31856</v>
      </c>
      <c r="AB66" s="60">
        <f>ROUND((NationalDataInterm!AB66/NationalDataInterm!G66)*G66,1)</f>
        <v>9426.1</v>
      </c>
      <c r="AC66" s="60">
        <f>ROUND((NationalDataInterm!AC66/NationalDataInterm!H66)*H66,1)</f>
        <v>9624.7</v>
      </c>
      <c r="AD66" s="60">
        <f>ROUND((NationalDataInterm!AD66/NationalDataInterm!I66)*I66,1)</f>
        <v>69711.7</v>
      </c>
      <c r="AE66" s="60">
        <f>ROUND((NationalDataInterm!AE66/NationalDataInterm!J66)*J66,1)</f>
        <v>23091.1</v>
      </c>
      <c r="AF66" s="60">
        <f>ROUND((NationalDataInterm!AF66/NationalDataInterm!K66)*K66,1)</f>
        <v>17403.4</v>
      </c>
      <c r="AG66" s="60">
        <f>ROUND((NationalDataInterm!AG66/NationalDataInterm!L66)*L66,1)</f>
        <v>3123.3</v>
      </c>
      <c r="AH66" s="60">
        <f>ROUND((NationalDataInterm!AH66/NationalDataInterm!M66)*M66,1)</f>
        <v>26093.9</v>
      </c>
      <c r="AI66" s="60">
        <f>ROUND((NationalDataInterm!AI66/NationalDataInterm!N66)*N66,1)</f>
        <v>23572.9</v>
      </c>
      <c r="AK66" s="60">
        <f t="shared" si="16"/>
        <v>0</v>
      </c>
    </row>
    <row r="67" spans="1:37" ht="12.75">
      <c r="A67" s="62">
        <v>2023</v>
      </c>
      <c r="B67" s="73">
        <v>19569.4</v>
      </c>
      <c r="C67" s="73">
        <v>1596.8</v>
      </c>
      <c r="D67" s="73">
        <v>9378</v>
      </c>
      <c r="E67" s="73">
        <v>10639.5</v>
      </c>
      <c r="F67" s="73">
        <v>33726.9</v>
      </c>
      <c r="G67" s="73">
        <v>9967.7</v>
      </c>
      <c r="H67" s="73">
        <v>10161.4</v>
      </c>
      <c r="I67" s="73">
        <v>74377.9</v>
      </c>
      <c r="J67" s="73">
        <v>24969.7</v>
      </c>
      <c r="K67" s="73">
        <v>18601.6</v>
      </c>
      <c r="L67" s="73">
        <v>3293.1</v>
      </c>
      <c r="M67" s="66">
        <v>27513.5</v>
      </c>
      <c r="N67" s="73">
        <v>24934.4</v>
      </c>
      <c r="O67" s="60">
        <v>192755.2</v>
      </c>
      <c r="P67" s="60">
        <v>0</v>
      </c>
      <c r="Q67" s="60"/>
      <c r="U67" s="60">
        <f>(O67-O66)/(O$69-O$64)*(U$69-U$64)+U66</f>
        <v>153577.7</v>
      </c>
      <c r="W67" s="60">
        <f>ROUND((NationalDataInterm!W67/NationalDataInterm!B67)*B67,1)</f>
        <v>18707.3</v>
      </c>
      <c r="X67" s="60">
        <f>ROUND((NationalDataInterm!X67/NationalDataInterm!C67)*C67,1)</f>
        <v>1526.5</v>
      </c>
      <c r="Y67" s="60">
        <f>ROUND((NationalDataInterm!Y67/NationalDataInterm!D67)*D67,1)</f>
        <v>8964.9</v>
      </c>
      <c r="Z67" s="60">
        <f>ROUND((NationalDataInterm!Z67/NationalDataInterm!E67)*E67,1)</f>
        <v>10170.8</v>
      </c>
      <c r="AA67" s="60">
        <f>ROUND((NationalDataInterm!AA67/NationalDataInterm!F67)*F67,1)</f>
        <v>32241.2</v>
      </c>
      <c r="AB67" s="60">
        <f>ROUND((NationalDataInterm!AB67/NationalDataInterm!G67)*G67,1)</f>
        <v>9528.6</v>
      </c>
      <c r="AC67" s="60">
        <f>ROUND((NationalDataInterm!AC67/NationalDataInterm!H67)*H67,1)</f>
        <v>9713.8</v>
      </c>
      <c r="AD67" s="60">
        <f>ROUND((NationalDataInterm!AD67/NationalDataInterm!I67)*I67,1)</f>
        <v>71101.4</v>
      </c>
      <c r="AE67" s="60">
        <f>ROUND((NationalDataInterm!AE67/NationalDataInterm!J67)*J67,1)</f>
        <v>23869.7</v>
      </c>
      <c r="AF67" s="60">
        <f>ROUND((NationalDataInterm!AF67/NationalDataInterm!K67)*K67,1)</f>
        <v>17782.2</v>
      </c>
      <c r="AG67" s="60">
        <f>ROUND((NationalDataInterm!AG67/NationalDataInterm!L67)*L67,1)</f>
        <v>3148</v>
      </c>
      <c r="AH67" s="60">
        <f>ROUND((NationalDataInterm!AH67/NationalDataInterm!M67)*M67,1)</f>
        <v>26301.5</v>
      </c>
      <c r="AI67" s="60">
        <f>ROUND((NationalDataInterm!AI67/NationalDataInterm!N67)*N67,1)</f>
        <v>23836</v>
      </c>
      <c r="AK67" s="60">
        <f t="shared" si="16"/>
        <v>0</v>
      </c>
    </row>
    <row r="68" spans="1:37" ht="12.75">
      <c r="A68" s="62">
        <v>2024</v>
      </c>
      <c r="B68" s="73">
        <v>19737.4</v>
      </c>
      <c r="C68" s="73">
        <v>1609.9</v>
      </c>
      <c r="D68" s="73">
        <v>9513.1</v>
      </c>
      <c r="E68" s="73">
        <v>10799.9</v>
      </c>
      <c r="F68" s="73">
        <v>34295</v>
      </c>
      <c r="G68" s="73">
        <v>10122.5</v>
      </c>
      <c r="H68" s="73">
        <v>10304.1</v>
      </c>
      <c r="I68" s="73">
        <v>76220.8</v>
      </c>
      <c r="J68" s="73">
        <v>25929.6</v>
      </c>
      <c r="K68" s="73">
        <v>19096.8</v>
      </c>
      <c r="L68" s="73">
        <v>3335.1</v>
      </c>
      <c r="M68" s="66">
        <v>27859.3</v>
      </c>
      <c r="N68" s="73">
        <v>25332.4</v>
      </c>
      <c r="O68" s="60">
        <v>196325.2</v>
      </c>
      <c r="P68" s="60">
        <v>0</v>
      </c>
      <c r="Q68" s="60"/>
      <c r="U68" s="60">
        <f>(O68-O67)/(O$69-O$64)*(U$69-U$64)+U67</f>
        <v>153577.7</v>
      </c>
      <c r="W68" s="60">
        <f>ROUND((NationalDataInterm!W68/NationalDataInterm!B68)*B68,1)</f>
        <v>18783</v>
      </c>
      <c r="X68" s="60">
        <f>ROUND((NationalDataInterm!X68/NationalDataInterm!C68)*C68,1)</f>
        <v>1532.1</v>
      </c>
      <c r="Y68" s="60">
        <f>ROUND((NationalDataInterm!Y68/NationalDataInterm!D68)*D68,1)</f>
        <v>9053.1</v>
      </c>
      <c r="Z68" s="60">
        <f>ROUND((NationalDataInterm!Z68/NationalDataInterm!E68)*E68,1)</f>
        <v>10277.7</v>
      </c>
      <c r="AA68" s="60">
        <f>ROUND((NationalDataInterm!AA68/NationalDataInterm!F68)*F68,1)</f>
        <v>32636.7</v>
      </c>
      <c r="AB68" s="60">
        <f>ROUND((NationalDataInterm!AB68/NationalDataInterm!G68)*G68,1)</f>
        <v>9633</v>
      </c>
      <c r="AC68" s="60">
        <f>ROUND((NationalDataInterm!AC68/NationalDataInterm!H68)*H68,1)</f>
        <v>9805.8</v>
      </c>
      <c r="AD68" s="60">
        <f>ROUND((NationalDataInterm!AD68/NationalDataInterm!I68)*I68,1)</f>
        <v>72535.2</v>
      </c>
      <c r="AE68" s="60">
        <f>ROUND((NationalDataInterm!AE68/NationalDataInterm!J68)*J68,1)</f>
        <v>24675.8</v>
      </c>
      <c r="AF68" s="60">
        <f>ROUND((NationalDataInterm!AF68/NationalDataInterm!K68)*K68,1)</f>
        <v>18173.4</v>
      </c>
      <c r="AG68" s="60">
        <f>ROUND((NationalDataInterm!AG68/NationalDataInterm!L68)*L68,1)</f>
        <v>3173.8</v>
      </c>
      <c r="AH68" s="60">
        <f>ROUND((NationalDataInterm!AH68/NationalDataInterm!M68)*M68,1)</f>
        <v>26512.2</v>
      </c>
      <c r="AI68" s="60">
        <f>ROUND((NationalDataInterm!AI68/NationalDataInterm!N68)*N68,1)</f>
        <v>24107.5</v>
      </c>
      <c r="AK68" s="60">
        <f t="shared" si="16"/>
        <v>0</v>
      </c>
    </row>
    <row r="69" spans="1:37" ht="12.75">
      <c r="A69" s="62">
        <v>2025</v>
      </c>
      <c r="B69" s="73">
        <v>19911.2</v>
      </c>
      <c r="C69" s="73">
        <v>1623.5</v>
      </c>
      <c r="D69" s="73">
        <v>9652</v>
      </c>
      <c r="E69" s="73">
        <v>10963</v>
      </c>
      <c r="F69" s="73">
        <v>34877.6</v>
      </c>
      <c r="G69" s="73">
        <v>10280.4</v>
      </c>
      <c r="H69" s="73">
        <v>10450.9</v>
      </c>
      <c r="I69" s="73">
        <v>78124.4</v>
      </c>
      <c r="J69" s="73">
        <v>26926.9</v>
      </c>
      <c r="K69" s="73">
        <v>19608.9</v>
      </c>
      <c r="L69" s="73">
        <v>3378.4</v>
      </c>
      <c r="M69" s="66">
        <v>28210.2</v>
      </c>
      <c r="N69" s="73">
        <v>25741.9</v>
      </c>
      <c r="O69" s="60">
        <v>200001.4</v>
      </c>
      <c r="P69" s="60">
        <v>0</v>
      </c>
      <c r="Q69" s="60"/>
      <c r="U69" s="73">
        <f>U64*(1+S97)</f>
        <v>153577.7</v>
      </c>
      <c r="W69" s="60">
        <f>ROUND((NationalDataInterm!W69/NationalDataInterm!B69)*B69,1)</f>
        <v>18863.7</v>
      </c>
      <c r="X69" s="60">
        <f>ROUND((NationalDataInterm!X69/NationalDataInterm!C69)*C69,1)</f>
        <v>1538.1</v>
      </c>
      <c r="Y69" s="60">
        <f>ROUND((NationalDataInterm!Y69/NationalDataInterm!D69)*D69,1)</f>
        <v>9144.2</v>
      </c>
      <c r="Z69" s="60">
        <f>ROUND((NationalDataInterm!Z69/NationalDataInterm!E69)*E69,1)</f>
        <v>10386.3</v>
      </c>
      <c r="AA69" s="60">
        <f>ROUND((NationalDataInterm!AA69/NationalDataInterm!F69)*F69,1)</f>
        <v>33042.8</v>
      </c>
      <c r="AB69" s="60">
        <f>ROUND((NationalDataInterm!AB69/NationalDataInterm!G69)*G69,1)</f>
        <v>9739.6</v>
      </c>
      <c r="AC69" s="60">
        <f>ROUND((NationalDataInterm!AC69/NationalDataInterm!H69)*H69,1)</f>
        <v>9901.1</v>
      </c>
      <c r="AD69" s="60">
        <f>ROUND((NationalDataInterm!AD69/NationalDataInterm!I69)*I69,1)</f>
        <v>74014.5</v>
      </c>
      <c r="AE69" s="60">
        <f>ROUND((NationalDataInterm!AE69/NationalDataInterm!J69)*J69,1)</f>
        <v>25510.3</v>
      </c>
      <c r="AF69" s="60">
        <f>ROUND((NationalDataInterm!AF69/NationalDataInterm!K69)*K69,1)</f>
        <v>18577.3</v>
      </c>
      <c r="AG69" s="60">
        <f>ROUND((NationalDataInterm!AG69/NationalDataInterm!L69)*L69,1)</f>
        <v>3200.7</v>
      </c>
      <c r="AH69" s="60">
        <f>ROUND((NationalDataInterm!AH69/NationalDataInterm!M69)*M69,1)</f>
        <v>26726.1</v>
      </c>
      <c r="AI69" s="60">
        <f>ROUND((NationalDataInterm!AI69/NationalDataInterm!N69)*N69,1)</f>
        <v>24387.7</v>
      </c>
      <c r="AK69" s="60">
        <f t="shared" si="16"/>
        <v>0.10000000000582077</v>
      </c>
    </row>
    <row r="70" spans="1:37" ht="12.75">
      <c r="A70" s="72">
        <v>2026</v>
      </c>
      <c r="B70" s="73">
        <v>20091.1</v>
      </c>
      <c r="C70" s="73">
        <v>1637.7</v>
      </c>
      <c r="D70" s="73">
        <v>9786.3</v>
      </c>
      <c r="E70" s="73">
        <v>11125.2</v>
      </c>
      <c r="F70" s="73">
        <v>35470.4</v>
      </c>
      <c r="G70" s="73">
        <v>10438.9</v>
      </c>
      <c r="H70" s="73">
        <v>10597.5</v>
      </c>
      <c r="I70" s="73">
        <v>80088.1</v>
      </c>
      <c r="J70" s="73">
        <v>27962.2</v>
      </c>
      <c r="K70" s="73">
        <v>20137.9</v>
      </c>
      <c r="L70" s="73">
        <v>3422.4</v>
      </c>
      <c r="M70" s="66">
        <v>28565.6</v>
      </c>
      <c r="N70" s="73">
        <v>26159</v>
      </c>
      <c r="O70" s="60">
        <v>203756.5</v>
      </c>
      <c r="P70" s="60">
        <v>0</v>
      </c>
      <c r="Q70" s="60"/>
      <c r="U70" s="60">
        <f>(O70-O69)/(O$74-O$69)*(U$74-U$69)+U69</f>
        <v>153577.7</v>
      </c>
      <c r="W70" s="60">
        <f>ROUND((NationalDataInterm!W70/NationalDataInterm!B70)*B70,1)</f>
        <v>18877.6</v>
      </c>
      <c r="X70" s="60">
        <f>ROUND((NationalDataInterm!X70/NationalDataInterm!C70)*C70,1)</f>
        <v>1538.8</v>
      </c>
      <c r="Y70" s="60">
        <f>ROUND((NationalDataInterm!Y70/NationalDataInterm!D70)*D70,1)</f>
        <v>9195.2</v>
      </c>
      <c r="Z70" s="60">
        <f>ROUND((NationalDataInterm!Z70/NationalDataInterm!E70)*E70,1)</f>
        <v>10453.2</v>
      </c>
      <c r="AA70" s="60">
        <f>ROUND((NationalDataInterm!AA70/NationalDataInterm!F70)*F70,1)</f>
        <v>33328</v>
      </c>
      <c r="AB70" s="60">
        <f>ROUND((NationalDataInterm!AB70/NationalDataInterm!G70)*G70,1)</f>
        <v>9808.4</v>
      </c>
      <c r="AC70" s="60">
        <f>ROUND((NationalDataInterm!AC70/NationalDataInterm!H70)*H70,1)</f>
        <v>9957.4</v>
      </c>
      <c r="AD70" s="60">
        <f>ROUND((NationalDataInterm!AD70/NationalDataInterm!I70)*I70,1)</f>
        <v>75250.7</v>
      </c>
      <c r="AE70" s="60">
        <f>ROUND((NationalDataInterm!AE70/NationalDataInterm!J70)*J70,1)</f>
        <v>26273.3</v>
      </c>
      <c r="AF70" s="60">
        <f>ROUND((NationalDataInterm!AF70/NationalDataInterm!K70)*K70,1)</f>
        <v>18921.6</v>
      </c>
      <c r="AG70" s="60">
        <f>ROUND((NationalDataInterm!AG70/NationalDataInterm!L70)*L70,1)</f>
        <v>3215.7</v>
      </c>
      <c r="AH70" s="60">
        <f>ROUND((NationalDataInterm!AH70/NationalDataInterm!M70)*M70,1)</f>
        <v>26840.2</v>
      </c>
      <c r="AI70" s="60">
        <f>ROUND((NationalDataInterm!AI70/NationalDataInterm!N70)*N70,1)</f>
        <v>24579</v>
      </c>
      <c r="AK70" s="60">
        <f t="shared" si="16"/>
        <v>-0.09999999999126885</v>
      </c>
    </row>
    <row r="71" spans="1:37" ht="12.75">
      <c r="A71" s="72">
        <v>2027</v>
      </c>
      <c r="B71" s="73">
        <v>20275.5</v>
      </c>
      <c r="C71" s="73">
        <v>1652.1</v>
      </c>
      <c r="D71" s="73">
        <v>9923.9</v>
      </c>
      <c r="E71" s="73">
        <v>11291.5</v>
      </c>
      <c r="F71" s="73">
        <v>36078.4</v>
      </c>
      <c r="G71" s="73">
        <v>10601.3</v>
      </c>
      <c r="H71" s="73">
        <v>10747.8</v>
      </c>
      <c r="I71" s="73">
        <v>82112.9</v>
      </c>
      <c r="J71" s="73">
        <v>29036.7</v>
      </c>
      <c r="K71" s="73">
        <v>20684.1</v>
      </c>
      <c r="L71" s="73">
        <v>3467.5</v>
      </c>
      <c r="M71" s="66">
        <v>28924.6</v>
      </c>
      <c r="N71" s="73">
        <v>26586.7</v>
      </c>
      <c r="O71" s="60">
        <v>207618</v>
      </c>
      <c r="P71" s="60">
        <v>0</v>
      </c>
      <c r="Q71" s="60"/>
      <c r="U71" s="60">
        <f>(O71-O70)/(O$74-O$69)*(U$74-U$69)+U70</f>
        <v>153577.7</v>
      </c>
      <c r="W71" s="60">
        <f>ROUND((NationalDataInterm!W71/NationalDataInterm!B71)*B71,1)</f>
        <v>18894.3</v>
      </c>
      <c r="X71" s="60">
        <f>ROUND((NationalDataInterm!X71/NationalDataInterm!C71)*C71,1)</f>
        <v>1539.6</v>
      </c>
      <c r="Y71" s="60">
        <f>ROUND((NationalDataInterm!Y71/NationalDataInterm!D71)*D71,1)</f>
        <v>9247.9</v>
      </c>
      <c r="Z71" s="60">
        <f>ROUND((NationalDataInterm!Z71/NationalDataInterm!E71)*E71,1)</f>
        <v>10522.3</v>
      </c>
      <c r="AA71" s="60">
        <f>ROUND((NationalDataInterm!AA71/NationalDataInterm!F71)*F71,1)</f>
        <v>33620.7</v>
      </c>
      <c r="AB71" s="60">
        <f>ROUND((NationalDataInterm!AB71/NationalDataInterm!G71)*G71,1)</f>
        <v>9879.1</v>
      </c>
      <c r="AC71" s="60">
        <f>ROUND((NationalDataInterm!AC71/NationalDataInterm!H71)*H71,1)</f>
        <v>10015.6</v>
      </c>
      <c r="AD71" s="60">
        <f>ROUND((NationalDataInterm!AD71/NationalDataInterm!I71)*I71,1)</f>
        <v>76519.2</v>
      </c>
      <c r="AE71" s="60">
        <f>ROUND((NationalDataInterm!AE71/NationalDataInterm!J71)*J71,1)</f>
        <v>27058.7</v>
      </c>
      <c r="AF71" s="60">
        <f>ROUND((NationalDataInterm!AF71/NationalDataInterm!K71)*K71,1)</f>
        <v>19275.1</v>
      </c>
      <c r="AG71" s="60">
        <f>ROUND((NationalDataInterm!AG71/NationalDataInterm!L71)*L71,1)</f>
        <v>3231.3</v>
      </c>
      <c r="AH71" s="60">
        <f>ROUND((NationalDataInterm!AH71/NationalDataInterm!M71)*M71,1)</f>
        <v>26954.2</v>
      </c>
      <c r="AI71" s="60">
        <f>ROUND((NationalDataInterm!AI71/NationalDataInterm!N71)*N71,1)</f>
        <v>24775.6</v>
      </c>
      <c r="AK71" s="60">
        <f t="shared" si="16"/>
        <v>-0.10000000000582077</v>
      </c>
    </row>
    <row r="72" spans="1:37" ht="12.75">
      <c r="A72" s="72">
        <v>2028</v>
      </c>
      <c r="B72" s="73">
        <v>20464.8</v>
      </c>
      <c r="C72" s="73">
        <v>1666.9</v>
      </c>
      <c r="D72" s="73">
        <v>10064.9</v>
      </c>
      <c r="E72" s="73">
        <v>11462</v>
      </c>
      <c r="F72" s="73">
        <v>36702.3</v>
      </c>
      <c r="G72" s="73">
        <v>10767.7</v>
      </c>
      <c r="H72" s="73">
        <v>10901.8</v>
      </c>
      <c r="I72" s="73">
        <v>84201.5</v>
      </c>
      <c r="J72" s="73">
        <v>30152.2</v>
      </c>
      <c r="K72" s="73">
        <v>21248.3</v>
      </c>
      <c r="L72" s="73">
        <v>3513.9</v>
      </c>
      <c r="M72" s="66">
        <v>29287.1</v>
      </c>
      <c r="N72" s="73">
        <v>27025.5</v>
      </c>
      <c r="O72" s="60">
        <v>211590.5</v>
      </c>
      <c r="P72" s="60">
        <v>0</v>
      </c>
      <c r="Q72" s="60"/>
      <c r="U72" s="60">
        <f>(O72-O71)/(O$74-O$69)*(U$74-U$69)+U71</f>
        <v>153577.7</v>
      </c>
      <c r="W72" s="60">
        <f>ROUND((NationalDataInterm!W72/NationalDataInterm!B72)*B72,1)</f>
        <v>18914.2</v>
      </c>
      <c r="X72" s="60">
        <f>ROUND((NationalDataInterm!X72/NationalDataInterm!C72)*C72,1)</f>
        <v>1540.6</v>
      </c>
      <c r="Y72" s="60">
        <f>ROUND((NationalDataInterm!Y72/NationalDataInterm!D72)*D72,1)</f>
        <v>9302.3</v>
      </c>
      <c r="Z72" s="60">
        <f>ROUND((NationalDataInterm!Z72/NationalDataInterm!E72)*E72,1)</f>
        <v>10593.5</v>
      </c>
      <c r="AA72" s="60">
        <f>ROUND((NationalDataInterm!AA72/NationalDataInterm!F72)*F72,1)</f>
        <v>33921.4</v>
      </c>
      <c r="AB72" s="60">
        <f>ROUND((NationalDataInterm!AB72/NationalDataInterm!G72)*G72,1)</f>
        <v>9951.8</v>
      </c>
      <c r="AC72" s="60">
        <f>ROUND((NationalDataInterm!AC72/NationalDataInterm!H72)*H72,1)</f>
        <v>10075.8</v>
      </c>
      <c r="AD72" s="60">
        <f>ROUND((NationalDataInterm!AD72/NationalDataInterm!I72)*I72,1)</f>
        <v>77821.5</v>
      </c>
      <c r="AE72" s="60">
        <f>ROUND((NationalDataInterm!AE72/NationalDataInterm!J72)*J72,1)</f>
        <v>27867.6</v>
      </c>
      <c r="AF72" s="60">
        <f>ROUND((NationalDataInterm!AF72/NationalDataInterm!K72)*K72,1)</f>
        <v>19638.3</v>
      </c>
      <c r="AG72" s="60">
        <f>ROUND((NationalDataInterm!AG72/NationalDataInterm!L72)*L72,1)</f>
        <v>3247.7</v>
      </c>
      <c r="AH72" s="60">
        <f>ROUND((NationalDataInterm!AH72/NationalDataInterm!M72)*M72,1)</f>
        <v>27068</v>
      </c>
      <c r="AI72" s="60">
        <f>ROUND((NationalDataInterm!AI72/NationalDataInterm!N72)*N72,1)</f>
        <v>24977.8</v>
      </c>
      <c r="AK72" s="60">
        <f t="shared" si="16"/>
        <v>-0.09999999999126885</v>
      </c>
    </row>
    <row r="73" spans="1:37" ht="12.75">
      <c r="A73" s="72">
        <v>2029</v>
      </c>
      <c r="B73" s="73">
        <v>20658.9</v>
      </c>
      <c r="C73" s="73">
        <v>1682.1</v>
      </c>
      <c r="D73" s="73">
        <v>10209.5</v>
      </c>
      <c r="E73" s="73">
        <v>11636.8</v>
      </c>
      <c r="F73" s="73">
        <v>37342.6</v>
      </c>
      <c r="G73" s="73">
        <v>10938.3</v>
      </c>
      <c r="H73" s="73">
        <v>11059.7</v>
      </c>
      <c r="I73" s="73">
        <v>86356.2</v>
      </c>
      <c r="J73" s="73">
        <v>31310.3</v>
      </c>
      <c r="K73" s="73">
        <v>21831.2</v>
      </c>
      <c r="L73" s="73">
        <v>3561.5</v>
      </c>
      <c r="M73" s="66">
        <v>29653.2</v>
      </c>
      <c r="N73" s="73">
        <v>27475.6</v>
      </c>
      <c r="O73" s="60">
        <v>215677.6</v>
      </c>
      <c r="P73" s="60">
        <v>0</v>
      </c>
      <c r="Q73" s="60"/>
      <c r="U73" s="60">
        <f>(O73-O72)/(O$74-O$69)*(U$74-U$69)+U72</f>
        <v>153577.7</v>
      </c>
      <c r="W73" s="60">
        <f>ROUND((NationalDataInterm!W73/NationalDataInterm!B73)*B73,1)</f>
        <v>18937</v>
      </c>
      <c r="X73" s="60">
        <f>ROUND((NationalDataInterm!X73/NationalDataInterm!C73)*C73,1)</f>
        <v>1541.9</v>
      </c>
      <c r="Y73" s="60">
        <f>ROUND((NationalDataInterm!Y73/NationalDataInterm!D73)*D73,1)</f>
        <v>9358.6</v>
      </c>
      <c r="Z73" s="60">
        <f>ROUND((NationalDataInterm!Z73/NationalDataInterm!E73)*E73,1)</f>
        <v>10666.9</v>
      </c>
      <c r="AA73" s="60">
        <f>ROUND((NationalDataInterm!AA73/NationalDataInterm!F73)*F73,1)</f>
        <v>34230.2</v>
      </c>
      <c r="AB73" s="60">
        <f>ROUND((NationalDataInterm!AB73/NationalDataInterm!G73)*G73,1)</f>
        <v>10026.6</v>
      </c>
      <c r="AC73" s="60">
        <f>ROUND((NationalDataInterm!AC73/NationalDataInterm!H73)*H73,1)</f>
        <v>10137.9</v>
      </c>
      <c r="AD73" s="60">
        <f>ROUND((NationalDataInterm!AD73/NationalDataInterm!I73)*I73,1)</f>
        <v>79158.7</v>
      </c>
      <c r="AE73" s="60">
        <f>ROUND((NationalDataInterm!AE73/NationalDataInterm!J73)*J73,1)</f>
        <v>28700.7</v>
      </c>
      <c r="AF73" s="60">
        <f>ROUND((NationalDataInterm!AF73/NationalDataInterm!K73)*K73,1)</f>
        <v>20011.6</v>
      </c>
      <c r="AG73" s="60">
        <f>ROUND((NationalDataInterm!AG73/NationalDataInterm!L73)*L73,1)</f>
        <v>3264.7</v>
      </c>
      <c r="AH73" s="60">
        <f>ROUND((NationalDataInterm!AH73/NationalDataInterm!M73)*M73,1)</f>
        <v>27181.7</v>
      </c>
      <c r="AI73" s="60">
        <f>ROUND((NationalDataInterm!AI73/NationalDataInterm!N73)*N73,1)</f>
        <v>25185.6</v>
      </c>
      <c r="AK73" s="60">
        <f t="shared" si="16"/>
        <v>0</v>
      </c>
    </row>
    <row r="74" spans="1:37" ht="12.75">
      <c r="A74" s="72">
        <v>2030</v>
      </c>
      <c r="B74" s="73">
        <v>20858</v>
      </c>
      <c r="C74" s="73">
        <v>1697.7</v>
      </c>
      <c r="D74" s="73">
        <v>10357.7</v>
      </c>
      <c r="E74" s="73">
        <v>11816.1</v>
      </c>
      <c r="F74" s="73">
        <v>37999.8</v>
      </c>
      <c r="G74" s="73">
        <v>11113.2</v>
      </c>
      <c r="H74" s="73">
        <v>11221.5</v>
      </c>
      <c r="I74" s="73">
        <v>88579.4</v>
      </c>
      <c r="J74" s="73">
        <v>32512.8</v>
      </c>
      <c r="K74" s="73">
        <v>22836.5</v>
      </c>
      <c r="L74" s="73">
        <v>3675.3</v>
      </c>
      <c r="M74" s="66">
        <v>29554.8</v>
      </c>
      <c r="N74" s="73">
        <v>27937.4</v>
      </c>
      <c r="O74" s="60">
        <v>219883.1</v>
      </c>
      <c r="P74" s="60">
        <v>0</v>
      </c>
      <c r="Q74" s="60"/>
      <c r="U74" s="123">
        <f>U69*(1+S98)</f>
        <v>153577.7</v>
      </c>
      <c r="W74" s="60">
        <f>ROUND((NationalDataInterm!W74/NationalDataInterm!B74)*B74,1)</f>
        <v>18963</v>
      </c>
      <c r="X74" s="60">
        <f>ROUND((NationalDataInterm!X74/NationalDataInterm!C74)*C74,1)</f>
        <v>1543.5</v>
      </c>
      <c r="Y74" s="60">
        <f>ROUND((NationalDataInterm!Y74/NationalDataInterm!D74)*D74,1)</f>
        <v>9416.7</v>
      </c>
      <c r="Z74" s="60">
        <f>ROUND((NationalDataInterm!Z74/NationalDataInterm!E74)*E74,1)</f>
        <v>10742.6</v>
      </c>
      <c r="AA74" s="60">
        <f>ROUND((NationalDataInterm!AA74/NationalDataInterm!F74)*F74,1)</f>
        <v>34547.4</v>
      </c>
      <c r="AB74" s="60">
        <f>ROUND((NationalDataInterm!AB74/NationalDataInterm!G74)*G74,1)</f>
        <v>10103.5</v>
      </c>
      <c r="AC74" s="60">
        <f>ROUND((NationalDataInterm!AC74/NationalDataInterm!H74)*H74,1)</f>
        <v>10202</v>
      </c>
      <c r="AD74" s="60">
        <f>ROUND((NationalDataInterm!AD74/NationalDataInterm!I74)*I74,1)</f>
        <v>80531.7</v>
      </c>
      <c r="AE74" s="60">
        <f>ROUND((NationalDataInterm!AE74/NationalDataInterm!J74)*J74,1)</f>
        <v>29558.9</v>
      </c>
      <c r="AF74" s="60">
        <f>ROUND((NationalDataInterm!AF74/NationalDataInterm!K74)*K74,1)</f>
        <v>20761.7</v>
      </c>
      <c r="AG74" s="60">
        <f>ROUND((NationalDataInterm!AG74/NationalDataInterm!L74)*L74,1)</f>
        <v>3341.4</v>
      </c>
      <c r="AH74" s="60">
        <f>ROUND((NationalDataInterm!AH74/NationalDataInterm!M74)*M74,1)</f>
        <v>26869.7</v>
      </c>
      <c r="AI74" s="60">
        <f>ROUND((NationalDataInterm!AI74/NationalDataInterm!N74)*N74,1)</f>
        <v>25399.2</v>
      </c>
      <c r="AK74" s="60">
        <f t="shared" si="16"/>
        <v>0</v>
      </c>
    </row>
    <row r="75" spans="1:14" ht="12.75">
      <c r="A75" s="72"/>
      <c r="B75" s="67"/>
      <c r="C75" s="67"/>
      <c r="E75" s="67"/>
      <c r="I75" s="66"/>
      <c r="J75" s="66"/>
      <c r="N75" s="67"/>
    </row>
    <row r="76" spans="1:12" ht="12.75">
      <c r="A76" s="72"/>
      <c r="G76" s="67"/>
      <c r="I76" s="66"/>
      <c r="J76" s="73"/>
      <c r="L76" s="67"/>
    </row>
    <row r="77" spans="1:15" ht="12.75">
      <c r="A77" s="72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</row>
    <row r="78" spans="1:15" ht="12.75">
      <c r="A78" s="72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</row>
    <row r="79" spans="1:15" ht="12.75">
      <c r="A79" s="72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</row>
    <row r="80" spans="1:15" ht="12.75">
      <c r="A80" s="72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</row>
    <row r="81" spans="1:19" ht="12.75">
      <c r="A81" s="72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R81" s="40"/>
      <c r="S81" s="40"/>
    </row>
    <row r="82" spans="1:19" ht="12.75">
      <c r="A82" s="72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22"/>
      <c r="R82" s="115"/>
      <c r="S82" s="115"/>
    </row>
    <row r="83" ht="12.75">
      <c r="P83" s="113"/>
    </row>
    <row r="84" spans="10:19" ht="12.75">
      <c r="J84" s="62"/>
      <c r="P84" s="113"/>
      <c r="R84" s="115"/>
      <c r="S84" s="115"/>
    </row>
    <row r="85" spans="10:19" ht="12.75">
      <c r="J85" s="62"/>
      <c r="P85" s="113"/>
      <c r="R85" s="115"/>
      <c r="S85" s="115"/>
    </row>
    <row r="86" spans="1:19" ht="12.75">
      <c r="A86" s="72"/>
      <c r="J86" s="62"/>
      <c r="P86" s="113"/>
      <c r="R86" s="115"/>
      <c r="S86" s="115"/>
    </row>
    <row r="87" ht="12.75">
      <c r="J87" s="62"/>
    </row>
    <row r="88" spans="1:19" ht="12.75">
      <c r="A88" s="61"/>
      <c r="J88" s="62"/>
      <c r="R88" s="122"/>
      <c r="S88" s="113"/>
    </row>
    <row r="89" spans="18:19" ht="12.75">
      <c r="R89" s="61"/>
      <c r="S89" s="62"/>
    </row>
    <row r="90" spans="18:19" ht="12.75">
      <c r="R90" s="122"/>
      <c r="S90" s="113"/>
    </row>
    <row r="93" spans="18:19" ht="12.75">
      <c r="R93" s="61"/>
      <c r="S93" s="61"/>
    </row>
    <row r="94" ht="12.75">
      <c r="U94" s="115"/>
    </row>
    <row r="95" spans="18:22" ht="12.75">
      <c r="R95" s="115"/>
      <c r="S95" s="102"/>
      <c r="U95" s="115"/>
      <c r="V95" s="115"/>
    </row>
    <row r="96" spans="1:22" ht="12.75">
      <c r="A96" s="61"/>
      <c r="K96" s="59"/>
      <c r="N96" s="74"/>
      <c r="O96" s="74"/>
      <c r="R96" s="115"/>
      <c r="S96" s="102"/>
      <c r="U96" s="115"/>
      <c r="V96" s="115"/>
    </row>
    <row r="97" spans="2:22" ht="12.75">
      <c r="B97" s="75"/>
      <c r="C97" s="75"/>
      <c r="D97" s="75"/>
      <c r="E97" s="75"/>
      <c r="F97" s="75"/>
      <c r="G97" s="75"/>
      <c r="H97" s="75"/>
      <c r="K97" s="75"/>
      <c r="L97" s="75"/>
      <c r="N97" s="75"/>
      <c r="O97" s="76"/>
      <c r="R97" s="115"/>
      <c r="S97" s="102"/>
      <c r="U97" s="115"/>
      <c r="V97" s="115"/>
    </row>
    <row r="98" spans="2:22" ht="12.75">
      <c r="B98" s="75"/>
      <c r="C98" s="75"/>
      <c r="D98" s="75"/>
      <c r="E98" s="75"/>
      <c r="F98" s="75"/>
      <c r="G98" s="75"/>
      <c r="H98" s="75"/>
      <c r="K98" s="75"/>
      <c r="L98" s="75"/>
      <c r="N98" s="75"/>
      <c r="O98" s="76"/>
      <c r="R98" s="115"/>
      <c r="S98" s="102"/>
      <c r="U98" s="115"/>
      <c r="V98" s="115"/>
    </row>
    <row r="99" spans="2:22" ht="12.75">
      <c r="B99" s="75"/>
      <c r="C99" s="75"/>
      <c r="D99" s="75"/>
      <c r="E99" s="75"/>
      <c r="F99" s="75"/>
      <c r="G99" s="75"/>
      <c r="H99" s="75"/>
      <c r="K99" s="75"/>
      <c r="L99" s="75"/>
      <c r="N99" s="75"/>
      <c r="O99" s="76"/>
      <c r="U99" s="124"/>
      <c r="V99" s="124"/>
    </row>
    <row r="100" spans="2:19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N100" s="75"/>
      <c r="O100" s="76"/>
      <c r="P100" s="117"/>
      <c r="R100" s="117"/>
      <c r="S100" s="61"/>
    </row>
    <row r="101" spans="2:15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N101" s="75"/>
      <c r="O101" s="76"/>
    </row>
    <row r="102" spans="9:10" ht="12.75">
      <c r="I102" s="75"/>
      <c r="J102" s="75"/>
    </row>
    <row r="103" spans="9:10" ht="12.75">
      <c r="I103" s="75"/>
      <c r="J103" s="75"/>
    </row>
    <row r="104" spans="9:10" ht="12.75">
      <c r="I104" s="75"/>
      <c r="J104" s="7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0"/>
  <sheetViews>
    <sheetView workbookViewId="0" topLeftCell="A1">
      <selection activeCell="A8" sqref="A8"/>
    </sheetView>
  </sheetViews>
  <sheetFormatPr defaultColWidth="9.140625" defaultRowHeight="12.75"/>
  <cols>
    <col min="1" max="1" width="37.140625" style="0" customWidth="1"/>
  </cols>
  <sheetData>
    <row r="1" spans="1:2" ht="15">
      <c r="A1" s="1" t="s">
        <v>0</v>
      </c>
      <c r="B1" s="2" t="s">
        <v>1</v>
      </c>
    </row>
    <row r="2" ht="12.75">
      <c r="A2" s="3">
        <v>37916</v>
      </c>
    </row>
    <row r="3" spans="2:8" ht="12.75">
      <c r="B3" s="4">
        <v>2000</v>
      </c>
      <c r="C3" s="4">
        <v>2005</v>
      </c>
      <c r="D3" s="4">
        <v>2010</v>
      </c>
      <c r="E3" s="4">
        <v>2015</v>
      </c>
      <c r="F3" s="4">
        <v>2020</v>
      </c>
      <c r="G3" s="4">
        <v>2025</v>
      </c>
      <c r="H3" s="4">
        <v>2030</v>
      </c>
    </row>
    <row r="5" spans="1:8" ht="12.75">
      <c r="A5" s="2" t="s">
        <v>2</v>
      </c>
      <c r="B5" s="5">
        <v>0.06</v>
      </c>
      <c r="C5" s="5">
        <v>0.06</v>
      </c>
      <c r="D5" s="5">
        <v>0.06</v>
      </c>
      <c r="E5" s="5">
        <v>0.06</v>
      </c>
      <c r="F5" s="5">
        <v>0.06</v>
      </c>
      <c r="G5" s="5">
        <v>0.06</v>
      </c>
      <c r="H5" s="5">
        <v>0.06</v>
      </c>
    </row>
    <row r="7" ht="12.75">
      <c r="A7" s="2" t="s">
        <v>3</v>
      </c>
    </row>
    <row r="8" spans="1:9" ht="12.75">
      <c r="A8" t="s">
        <v>4</v>
      </c>
      <c r="B8" s="5">
        <v>0.7847</v>
      </c>
      <c r="C8" s="5">
        <v>0.8169000000000001</v>
      </c>
      <c r="D8" s="5">
        <v>0.8290000000000001</v>
      </c>
      <c r="E8" s="5">
        <v>0.8325</v>
      </c>
      <c r="F8" s="5">
        <v>0.8274</v>
      </c>
      <c r="G8" s="5">
        <v>0.8282</v>
      </c>
      <c r="H8" s="5">
        <v>0.8289</v>
      </c>
      <c r="I8" s="106"/>
    </row>
    <row r="9" spans="1:8" ht="12.75">
      <c r="A9" s="6" t="s">
        <v>5</v>
      </c>
      <c r="B9" s="5">
        <v>0.7847</v>
      </c>
      <c r="C9" s="5">
        <v>0.7969</v>
      </c>
      <c r="D9" s="5">
        <v>0.809</v>
      </c>
      <c r="E9" s="5">
        <v>0.8125</v>
      </c>
      <c r="F9" s="5">
        <v>0.8074</v>
      </c>
      <c r="G9" s="5">
        <v>0.8082</v>
      </c>
      <c r="H9" s="5">
        <v>0.8089</v>
      </c>
    </row>
    <row r="10" spans="1:9" ht="12.75">
      <c r="A10" t="s">
        <v>6</v>
      </c>
      <c r="B10" s="5">
        <v>0.7847</v>
      </c>
      <c r="C10" s="5">
        <v>0.7769</v>
      </c>
      <c r="D10" s="5">
        <v>0.789</v>
      </c>
      <c r="E10" s="5">
        <v>0.7925</v>
      </c>
      <c r="F10" s="5">
        <v>0.7874</v>
      </c>
      <c r="G10" s="5">
        <v>0.7882</v>
      </c>
      <c r="H10" s="5">
        <v>0.7888999999999999</v>
      </c>
      <c r="I10" s="106"/>
    </row>
    <row r="11" spans="2:8" ht="12.75">
      <c r="B11" s="5"/>
      <c r="C11" s="5"/>
      <c r="D11" s="5"/>
      <c r="E11" s="5"/>
      <c r="F11" s="5"/>
      <c r="G11" s="5"/>
      <c r="H11" s="5"/>
    </row>
    <row r="12" ht="12.75">
      <c r="A12" s="2" t="s">
        <v>7</v>
      </c>
    </row>
    <row r="13" ht="12.75">
      <c r="A13" s="2"/>
    </row>
    <row r="14" ht="12.75">
      <c r="A14" s="2" t="s">
        <v>8</v>
      </c>
    </row>
    <row r="15" spans="1:8" ht="12.75">
      <c r="A15" t="s">
        <v>4</v>
      </c>
      <c r="B15" s="5">
        <v>0.3305806883005621</v>
      </c>
      <c r="C15" s="5">
        <v>0.3180019480007313</v>
      </c>
      <c r="D15" s="5">
        <v>0.3068572286785209</v>
      </c>
      <c r="E15" s="5">
        <v>0.3116399949850414</v>
      </c>
      <c r="F15" s="5">
        <v>0.32213945613196304</v>
      </c>
      <c r="G15" s="5">
        <v>0.33318712075818346</v>
      </c>
      <c r="H15" s="5">
        <v>0.33870418974728655</v>
      </c>
    </row>
    <row r="16" spans="1:8" ht="12.75">
      <c r="A16" s="6" t="s">
        <v>5</v>
      </c>
      <c r="B16" s="5">
        <v>0.3305806883005621</v>
      </c>
      <c r="C16" s="5">
        <v>0.3191091324040077</v>
      </c>
      <c r="D16" s="5">
        <v>0.31095862520089584</v>
      </c>
      <c r="E16" s="5">
        <v>0.3205325179562088</v>
      </c>
      <c r="F16" s="5">
        <v>0.3361917555449752</v>
      </c>
      <c r="G16" s="5">
        <v>0.3517780755484067</v>
      </c>
      <c r="H16" s="5">
        <v>0.3611285734543061</v>
      </c>
    </row>
    <row r="17" spans="1:8" ht="12.75">
      <c r="A17" t="s">
        <v>6</v>
      </c>
      <c r="B17" s="5">
        <v>0.3305806883005621</v>
      </c>
      <c r="C17" s="5">
        <v>0.3202019473885973</v>
      </c>
      <c r="D17" s="5">
        <v>0.31493481654524136</v>
      </c>
      <c r="E17" s="5">
        <v>0.3289882712580884</v>
      </c>
      <c r="F17" s="5">
        <v>0.34924503887221897</v>
      </c>
      <c r="G17" s="5">
        <v>0.36854086813183445</v>
      </c>
      <c r="H17" s="5">
        <v>0.38063116772329825</v>
      </c>
    </row>
    <row r="18" ht="12.75">
      <c r="A18" s="2"/>
    </row>
    <row r="19" ht="12.75">
      <c r="A19" s="2" t="s">
        <v>9</v>
      </c>
    </row>
    <row r="20" spans="1:8" ht="12.75">
      <c r="A20" t="s">
        <v>4</v>
      </c>
      <c r="B20" s="5">
        <v>0.13048489008118738</v>
      </c>
      <c r="C20" s="5">
        <v>0.12941395504679543</v>
      </c>
      <c r="D20" s="5">
        <v>0.13593515423836502</v>
      </c>
      <c r="E20" s="5">
        <v>0.15484231060767265</v>
      </c>
      <c r="F20" s="5">
        <v>0.17932177240486352</v>
      </c>
      <c r="G20" s="5">
        <v>0.20759825881494756</v>
      </c>
      <c r="H20" s="5">
        <v>0.22821453739791886</v>
      </c>
    </row>
    <row r="21" spans="1:8" ht="12.75">
      <c r="A21" s="6" t="s">
        <v>5</v>
      </c>
      <c r="B21" s="5">
        <v>0.13048489008118738</v>
      </c>
      <c r="C21" s="5">
        <v>0.12901681118300154</v>
      </c>
      <c r="D21" s="5">
        <v>0.13509789566555913</v>
      </c>
      <c r="E21" s="5">
        <v>0.15329751482089762</v>
      </c>
      <c r="F21" s="5">
        <v>0.17650919426995457</v>
      </c>
      <c r="G21" s="5">
        <v>0.2025249934881323</v>
      </c>
      <c r="H21" s="5">
        <v>0.22020802554603272</v>
      </c>
    </row>
    <row r="22" spans="1:8" ht="12.75">
      <c r="A22" t="s">
        <v>6</v>
      </c>
      <c r="B22" s="5">
        <v>0.13048489008118738</v>
      </c>
      <c r="C22" s="5">
        <v>0.12862458554729173</v>
      </c>
      <c r="D22" s="5">
        <v>0.13428539656835184</v>
      </c>
      <c r="E22" s="5">
        <v>0.1518280787093052</v>
      </c>
      <c r="F22" s="5">
        <v>0.1738957814014313</v>
      </c>
      <c r="G22" s="5">
        <v>0.19795008257271454</v>
      </c>
      <c r="H22" s="5">
        <v>0.2132444890362357</v>
      </c>
    </row>
    <row r="24" ht="12.75">
      <c r="A24" s="2" t="s">
        <v>342</v>
      </c>
    </row>
    <row r="25" spans="1:8" ht="12.75">
      <c r="A25" t="s">
        <v>10</v>
      </c>
      <c r="B25" s="8">
        <v>0.0612</v>
      </c>
      <c r="C25" s="8">
        <v>0.0619</v>
      </c>
      <c r="D25" s="8">
        <v>0.0626</v>
      </c>
      <c r="E25" s="8">
        <v>0.0633</v>
      </c>
      <c r="F25" s="8">
        <v>0.064</v>
      </c>
      <c r="G25" s="8">
        <v>0.06470000000000001</v>
      </c>
      <c r="H25" s="8">
        <v>0.0654</v>
      </c>
    </row>
    <row r="26" spans="1:8" ht="12.75">
      <c r="A26" s="6" t="s">
        <v>11</v>
      </c>
      <c r="B26" s="8">
        <v>0.0612</v>
      </c>
      <c r="C26" s="8">
        <v>0.06255</v>
      </c>
      <c r="D26" s="8">
        <v>0.0639</v>
      </c>
      <c r="E26" s="8">
        <v>0.06525</v>
      </c>
      <c r="F26" s="8">
        <v>0.06659999999999999</v>
      </c>
      <c r="G26" s="8">
        <v>0.06794999999999998</v>
      </c>
      <c r="H26" s="8">
        <v>0.06929999999999999</v>
      </c>
    </row>
    <row r="27" spans="1:8" ht="12.75">
      <c r="A27" t="s">
        <v>12</v>
      </c>
      <c r="B27" s="8">
        <v>0.0612</v>
      </c>
      <c r="C27" s="8">
        <v>0.06325</v>
      </c>
      <c r="D27" s="8">
        <v>0.0653</v>
      </c>
      <c r="E27" s="8">
        <v>0.06735</v>
      </c>
      <c r="F27" s="8">
        <v>0.0694</v>
      </c>
      <c r="G27" s="8">
        <v>0.07145000000000001</v>
      </c>
      <c r="H27" s="8">
        <v>0.07350000000000001</v>
      </c>
    </row>
    <row r="29" ht="12.75">
      <c r="A29" s="2" t="s">
        <v>13</v>
      </c>
    </row>
    <row r="30" spans="1:8" ht="12.75">
      <c r="A30" t="s">
        <v>4</v>
      </c>
      <c r="B30" s="8">
        <v>0.0541</v>
      </c>
      <c r="C30" s="8">
        <v>0.0541</v>
      </c>
      <c r="D30" s="8">
        <v>0.0541</v>
      </c>
      <c r="E30" s="8">
        <v>0.0541</v>
      </c>
      <c r="F30" s="8">
        <v>0.0541</v>
      </c>
      <c r="G30" s="8">
        <v>0.0541</v>
      </c>
      <c r="H30" s="8">
        <v>0.0541</v>
      </c>
    </row>
    <row r="31" spans="1:8" ht="12.75">
      <c r="A31" s="6" t="s">
        <v>5</v>
      </c>
      <c r="B31" s="8">
        <v>0.0541</v>
      </c>
      <c r="C31" s="8">
        <v>0.0541</v>
      </c>
      <c r="D31" s="8">
        <v>0.0541</v>
      </c>
      <c r="E31" s="8">
        <v>0.0541</v>
      </c>
      <c r="F31" s="8">
        <v>0.0541</v>
      </c>
      <c r="G31" s="8">
        <v>0.0541</v>
      </c>
      <c r="H31" s="8">
        <v>0.0541</v>
      </c>
    </row>
    <row r="32" spans="1:8" ht="12.75">
      <c r="A32" t="s">
        <v>6</v>
      </c>
      <c r="B32" s="8">
        <v>0.06</v>
      </c>
      <c r="C32" s="8">
        <v>0.06</v>
      </c>
      <c r="D32" s="8">
        <v>0.06</v>
      </c>
      <c r="E32" s="8">
        <v>0.06</v>
      </c>
      <c r="F32" s="8">
        <v>0.06</v>
      </c>
      <c r="G32" s="8">
        <v>0.06</v>
      </c>
      <c r="H32" s="8">
        <v>0.06</v>
      </c>
    </row>
    <row r="34" ht="12.75">
      <c r="A34" s="2" t="s">
        <v>14</v>
      </c>
    </row>
    <row r="35" spans="1:8" ht="12.75">
      <c r="A35" t="s">
        <v>4</v>
      </c>
      <c r="B35" s="8">
        <v>0.0201</v>
      </c>
      <c r="C35" s="8">
        <v>0.020099999999999996</v>
      </c>
      <c r="D35" s="8">
        <v>0.0203</v>
      </c>
      <c r="E35" s="8">
        <v>0.0206</v>
      </c>
      <c r="F35" s="8">
        <v>0.0211</v>
      </c>
      <c r="G35" s="8">
        <v>0.0216</v>
      </c>
      <c r="H35" s="8">
        <v>0.0219</v>
      </c>
    </row>
    <row r="36" spans="1:8" ht="12.75">
      <c r="A36" s="6" t="s">
        <v>5</v>
      </c>
      <c r="B36" s="8">
        <v>0.0201</v>
      </c>
      <c r="C36" s="8">
        <v>0.0201</v>
      </c>
      <c r="D36" s="8">
        <v>0.0201</v>
      </c>
      <c r="E36" s="8">
        <v>0.0201</v>
      </c>
      <c r="F36" s="8">
        <v>0.0201</v>
      </c>
      <c r="G36" s="8">
        <v>0.0201</v>
      </c>
      <c r="H36" s="8">
        <v>0.0201</v>
      </c>
    </row>
    <row r="37" spans="1:8" ht="12.75">
      <c r="A37" t="s">
        <v>6</v>
      </c>
      <c r="B37" s="8">
        <v>0.0201</v>
      </c>
      <c r="C37" s="8">
        <v>0.0201</v>
      </c>
      <c r="D37" s="8">
        <f>D36-(D35-D36)</f>
        <v>0.0199</v>
      </c>
      <c r="E37" s="8">
        <f>E36-(E35-E36)</f>
        <v>0.0196</v>
      </c>
      <c r="F37" s="8">
        <f>F36-(F35-F36)</f>
        <v>0.0191</v>
      </c>
      <c r="G37" s="8">
        <f>G36-(G35-G36)</f>
        <v>0.0186</v>
      </c>
      <c r="H37" s="8">
        <f>H36-(H35-H36)</f>
        <v>0.0183</v>
      </c>
    </row>
    <row r="39" ht="12.75">
      <c r="A39" s="2" t="s">
        <v>15</v>
      </c>
    </row>
    <row r="40" spans="1:8" ht="12.75">
      <c r="A40" t="s">
        <v>4</v>
      </c>
      <c r="B40" s="9">
        <v>2.62</v>
      </c>
      <c r="C40" s="9">
        <v>2.62</v>
      </c>
      <c r="D40" s="9">
        <v>2.6</v>
      </c>
      <c r="E40" s="9">
        <v>2.59</v>
      </c>
      <c r="F40" s="9">
        <v>2.58</v>
      </c>
      <c r="G40" s="9">
        <v>2.55</v>
      </c>
      <c r="H40" s="9">
        <v>2.55</v>
      </c>
    </row>
    <row r="41" spans="1:8" ht="12.75">
      <c r="A41" s="6" t="s">
        <v>5</v>
      </c>
      <c r="B41" s="9">
        <v>2.62</v>
      </c>
      <c r="C41" s="9">
        <v>2.62</v>
      </c>
      <c r="D41" s="9">
        <v>2.61</v>
      </c>
      <c r="E41" s="9">
        <v>2.61</v>
      </c>
      <c r="F41" s="9">
        <v>2.6</v>
      </c>
      <c r="G41" s="9">
        <v>2.6</v>
      </c>
      <c r="H41" s="9">
        <v>2.6</v>
      </c>
    </row>
    <row r="42" spans="1:8" ht="12.75">
      <c r="A42" t="s">
        <v>6</v>
      </c>
      <c r="B42" s="9">
        <v>2.62</v>
      </c>
      <c r="C42" s="9">
        <v>2.63</v>
      </c>
      <c r="D42" s="9">
        <v>2.63</v>
      </c>
      <c r="E42" s="9">
        <v>2.65</v>
      </c>
      <c r="F42" s="9">
        <v>2.65</v>
      </c>
      <c r="G42" s="9">
        <v>2.65</v>
      </c>
      <c r="H42" s="9">
        <v>2.65</v>
      </c>
    </row>
    <row r="44" ht="12.75">
      <c r="A44" s="2" t="s">
        <v>16</v>
      </c>
    </row>
    <row r="45" spans="1:8" ht="12.75">
      <c r="A45" t="s">
        <v>4</v>
      </c>
      <c r="B45" s="9">
        <v>2.62</v>
      </c>
      <c r="C45" s="9">
        <v>2.62</v>
      </c>
      <c r="D45" s="9">
        <v>2.62</v>
      </c>
      <c r="E45" s="9">
        <v>2.61</v>
      </c>
      <c r="F45" s="9">
        <v>2.61</v>
      </c>
      <c r="G45" s="9">
        <v>2.6</v>
      </c>
      <c r="H45" s="9">
        <v>2.6</v>
      </c>
    </row>
    <row r="46" spans="1:8" ht="12.75">
      <c r="A46" s="6" t="s">
        <v>5</v>
      </c>
      <c r="B46" s="9">
        <v>2.62</v>
      </c>
      <c r="C46" s="9">
        <v>2.62</v>
      </c>
      <c r="D46" s="9">
        <v>2.63</v>
      </c>
      <c r="E46" s="9">
        <v>2.63</v>
      </c>
      <c r="F46" s="9">
        <v>2.64</v>
      </c>
      <c r="G46" s="9">
        <v>2.65</v>
      </c>
      <c r="H46" s="9">
        <v>2.65</v>
      </c>
    </row>
    <row r="47" spans="1:8" ht="12.75">
      <c r="A47" t="s">
        <v>6</v>
      </c>
      <c r="B47" s="9">
        <v>2.62</v>
      </c>
      <c r="C47" s="9">
        <v>2.63</v>
      </c>
      <c r="D47" s="9">
        <v>2.65</v>
      </c>
      <c r="E47" s="9">
        <v>2.67</v>
      </c>
      <c r="F47" s="9">
        <v>2.69</v>
      </c>
      <c r="G47" s="9">
        <v>2.7</v>
      </c>
      <c r="H47" s="9">
        <v>2.7</v>
      </c>
    </row>
    <row r="50" spans="1:8" ht="12.75">
      <c r="A50" s="2" t="s">
        <v>185</v>
      </c>
      <c r="B50" s="9">
        <v>2.607</v>
      </c>
      <c r="C50" s="9">
        <v>2.607</v>
      </c>
      <c r="D50" s="9">
        <v>2.6</v>
      </c>
      <c r="E50" s="9">
        <v>2.6</v>
      </c>
      <c r="F50" s="9">
        <v>2.59</v>
      </c>
      <c r="G50" s="9">
        <v>2.59</v>
      </c>
      <c r="H50" s="9">
        <v>2.59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K33"/>
  <sheetViews>
    <sheetView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" sqref="F3"/>
    </sheetView>
  </sheetViews>
  <sheetFormatPr defaultColWidth="9.140625" defaultRowHeight="12.75"/>
  <cols>
    <col min="2" max="13" width="12.7109375" style="0" customWidth="1"/>
  </cols>
  <sheetData>
    <row r="2" spans="1:11" ht="38.25">
      <c r="A2" s="2" t="s">
        <v>114</v>
      </c>
      <c r="B2" s="77" t="s">
        <v>115</v>
      </c>
      <c r="C2" s="77" t="s">
        <v>3</v>
      </c>
      <c r="D2" s="77" t="s">
        <v>116</v>
      </c>
      <c r="E2" s="77" t="s">
        <v>117</v>
      </c>
      <c r="F2" s="77" t="s">
        <v>342</v>
      </c>
      <c r="G2" s="77" t="s">
        <v>118</v>
      </c>
      <c r="H2" s="77" t="s">
        <v>119</v>
      </c>
      <c r="I2" s="77" t="s">
        <v>120</v>
      </c>
      <c r="J2" s="77" t="s">
        <v>121</v>
      </c>
      <c r="K2" s="77" t="s">
        <v>122</v>
      </c>
    </row>
    <row r="3" spans="1:11" ht="12.75">
      <c r="A3" s="2">
        <v>2000</v>
      </c>
      <c r="B3" s="5">
        <v>0.06</v>
      </c>
      <c r="C3" s="8">
        <v>0.7847</v>
      </c>
      <c r="D3" s="8">
        <v>0.3305806883005621</v>
      </c>
      <c r="E3" s="8">
        <v>0.13048489008118738</v>
      </c>
      <c r="F3" s="8">
        <f>+KeyFactors!B26</f>
        <v>0.0612</v>
      </c>
      <c r="G3" s="8">
        <v>0.0541</v>
      </c>
      <c r="H3" s="8">
        <v>0.0201</v>
      </c>
      <c r="I3" s="9">
        <v>2.60768</v>
      </c>
      <c r="J3" s="82">
        <v>342.57599999999996</v>
      </c>
      <c r="K3" s="84">
        <v>79.25</v>
      </c>
    </row>
    <row r="4" spans="1:11" ht="12.75">
      <c r="A4">
        <v>2001</v>
      </c>
      <c r="B4" s="5">
        <v>0.06</v>
      </c>
      <c r="C4" s="8">
        <f>(C$8/C$3)^(0.2)*C3</f>
        <v>0.7871249658219122</v>
      </c>
      <c r="D4" s="8">
        <f>(D$8/D$3)^(0.2)*D3</f>
        <v>0.32825385135107626</v>
      </c>
      <c r="E4" s="8">
        <f>(E$8/E$3)^(0.2)*E3</f>
        <v>0.1301899439280937</v>
      </c>
      <c r="F4" s="8">
        <f>(F$8/F$3)^(0.2)*F3</f>
        <v>0.061467648699343666</v>
      </c>
      <c r="G4" s="8">
        <v>0.0541</v>
      </c>
      <c r="H4" s="8">
        <v>0.0201</v>
      </c>
      <c r="I4" s="9">
        <v>2.607</v>
      </c>
      <c r="J4" s="82">
        <v>332.9819999999999</v>
      </c>
      <c r="K4" s="84">
        <v>79.25</v>
      </c>
    </row>
    <row r="5" spans="1:11" ht="12.75">
      <c r="A5">
        <v>2002</v>
      </c>
      <c r="B5" s="5">
        <v>0.06</v>
      </c>
      <c r="C5" s="8">
        <f aca="true" t="shared" si="0" ref="C5:F7">(C$8/C$3)^(0.2)*C4</f>
        <v>0.7895574255386089</v>
      </c>
      <c r="D5" s="8">
        <f t="shared" si="0"/>
        <v>0.3259433921586135</v>
      </c>
      <c r="E5" s="8">
        <f t="shared" si="0"/>
        <v>0.1298956644670068</v>
      </c>
      <c r="F5" s="8">
        <f t="shared" si="0"/>
        <v>0.06173646791872427</v>
      </c>
      <c r="G5" s="8">
        <v>0.0541</v>
      </c>
      <c r="H5" s="8">
        <v>0.0201</v>
      </c>
      <c r="I5" s="9">
        <v>2.607</v>
      </c>
      <c r="J5" s="82">
        <v>333.423</v>
      </c>
      <c r="K5" s="84">
        <v>79.576</v>
      </c>
    </row>
    <row r="6" spans="1:11" ht="12.75">
      <c r="A6">
        <v>2003</v>
      </c>
      <c r="B6" s="5">
        <v>0.06</v>
      </c>
      <c r="C6" s="8">
        <f t="shared" si="0"/>
        <v>0.791997402308544</v>
      </c>
      <c r="D6" s="8">
        <f t="shared" si="0"/>
        <v>0.3236491954461127</v>
      </c>
      <c r="E6" s="8">
        <f t="shared" si="0"/>
        <v>0.12960205019094576</v>
      </c>
      <c r="F6" s="8">
        <f t="shared" si="0"/>
        <v>0.062006462777229474</v>
      </c>
      <c r="G6" s="8">
        <v>0.0541</v>
      </c>
      <c r="H6" s="8">
        <v>0.0201</v>
      </c>
      <c r="I6" s="9">
        <v>2.607</v>
      </c>
      <c r="J6" s="82">
        <v>333.653</v>
      </c>
      <c r="K6" s="84">
        <v>79.92100000000002</v>
      </c>
    </row>
    <row r="7" spans="1:11" ht="12.75">
      <c r="A7">
        <v>2004</v>
      </c>
      <c r="B7" s="5">
        <v>0.06</v>
      </c>
      <c r="C7" s="8">
        <f t="shared" si="0"/>
        <v>0.7944449193617381</v>
      </c>
      <c r="D7" s="8">
        <f t="shared" si="0"/>
        <v>0.321371146747906</v>
      </c>
      <c r="E7" s="8">
        <f t="shared" si="0"/>
        <v>0.129309099596336</v>
      </c>
      <c r="F7" s="8">
        <f t="shared" si="0"/>
        <v>0.06227763841633449</v>
      </c>
      <c r="G7" s="8">
        <v>0.0541</v>
      </c>
      <c r="H7" s="8">
        <v>0.0201</v>
      </c>
      <c r="I7" s="9">
        <v>2.607</v>
      </c>
      <c r="J7" s="82">
        <v>333.595</v>
      </c>
      <c r="K7" s="84">
        <v>80.24900000000001</v>
      </c>
    </row>
    <row r="8" spans="1:11" s="81" customFormat="1" ht="12.75">
      <c r="A8" s="78">
        <v>2005</v>
      </c>
      <c r="B8" s="79">
        <v>0.06</v>
      </c>
      <c r="C8" s="80">
        <f>KeyFactors!C9</f>
        <v>0.7969</v>
      </c>
      <c r="D8" s="80">
        <f>KeyFactors!C16</f>
        <v>0.3191091324040077</v>
      </c>
      <c r="E8" s="80">
        <f>KeyFactors!C21</f>
        <v>0.12901681118300154</v>
      </c>
      <c r="F8" s="80">
        <f>KeyFactors!C26</f>
        <v>0.06255</v>
      </c>
      <c r="G8" s="8">
        <v>0.0541</v>
      </c>
      <c r="H8" s="8">
        <v>0.0201</v>
      </c>
      <c r="I8" s="107">
        <f>KeyFactors!C41</f>
        <v>2.62</v>
      </c>
      <c r="J8" s="83">
        <v>333.311</v>
      </c>
      <c r="K8" s="85">
        <v>80.575</v>
      </c>
    </row>
    <row r="9" spans="1:11" ht="12.75">
      <c r="A9">
        <v>2006</v>
      </c>
      <c r="B9" s="5">
        <v>0.06</v>
      </c>
      <c r="C9" s="8">
        <f>(C$13/C$8)^(0.2)*C8</f>
        <v>0.7993054345412528</v>
      </c>
      <c r="D9" s="8">
        <f>(D$13/D$8)^(0.2)*D8</f>
        <v>0.31746211703253474</v>
      </c>
      <c r="E9" s="8">
        <f>(E$13/E$8)^(0.2)*E8</f>
        <v>0.13021072580539442</v>
      </c>
      <c r="F9" s="8">
        <f>(F$13/F$8)^(0.2)*F8</f>
        <v>0.0628176988008456</v>
      </c>
      <c r="G9" s="8">
        <v>0.0541</v>
      </c>
      <c r="H9" s="8">
        <v>0.0201</v>
      </c>
      <c r="I9" s="9">
        <f>(I$13/I$8)^(0.2)*I8</f>
        <v>2.6179969395535494</v>
      </c>
      <c r="J9" s="82">
        <v>333.08099999999996</v>
      </c>
      <c r="K9" s="84">
        <v>80.88800000000002</v>
      </c>
    </row>
    <row r="10" spans="1:11" ht="12.75">
      <c r="A10">
        <v>2007</v>
      </c>
      <c r="B10" s="5">
        <v>0.06</v>
      </c>
      <c r="C10" s="8">
        <f aca="true" t="shared" si="1" ref="C10:F12">(C$13/C$8)^(0.2)*C9</f>
        <v>0.8017181298621922</v>
      </c>
      <c r="D10" s="8">
        <f t="shared" si="1"/>
        <v>0.31582360238811225</v>
      </c>
      <c r="E10" s="8">
        <f t="shared" si="1"/>
        <v>0.1314156888494038</v>
      </c>
      <c r="F10" s="8">
        <f t="shared" si="1"/>
        <v>0.06308654328751014</v>
      </c>
      <c r="G10" s="8">
        <v>0.0541</v>
      </c>
      <c r="H10" s="8">
        <v>0.0201</v>
      </c>
      <c r="I10" s="9">
        <f>(I$13/I$8)^(0.2)*I9</f>
        <v>2.615995410500668</v>
      </c>
      <c r="J10" s="82">
        <v>332.88699999999994</v>
      </c>
      <c r="K10" s="84">
        <v>81.185</v>
      </c>
    </row>
    <row r="11" spans="1:11" ht="12.75">
      <c r="A11">
        <v>2008</v>
      </c>
      <c r="B11" s="5">
        <v>0.06</v>
      </c>
      <c r="C11" s="8">
        <f t="shared" si="1"/>
        <v>0.8041381078794076</v>
      </c>
      <c r="D11" s="8">
        <f t="shared" si="1"/>
        <v>0.3141935445960068</v>
      </c>
      <c r="E11" s="8">
        <f t="shared" si="1"/>
        <v>0.13263180255652826</v>
      </c>
      <c r="F11" s="8">
        <f t="shared" si="1"/>
        <v>0.06335653836325052</v>
      </c>
      <c r="G11" s="8">
        <v>0.0541</v>
      </c>
      <c r="H11" s="8">
        <v>0.0201</v>
      </c>
      <c r="I11" s="9">
        <f>(I$13/I$8)^(0.2)*I10</f>
        <v>2.6139954116705644</v>
      </c>
      <c r="J11" s="82">
        <v>332.715</v>
      </c>
      <c r="K11" s="84">
        <v>81.46900000000002</v>
      </c>
    </row>
    <row r="12" spans="1:11" ht="12.75">
      <c r="A12">
        <v>2009</v>
      </c>
      <c r="B12" s="5">
        <v>0.06</v>
      </c>
      <c r="C12" s="8">
        <f t="shared" si="1"/>
        <v>0.806565390575644</v>
      </c>
      <c r="D12" s="8">
        <f t="shared" si="1"/>
        <v>0.31257190000793517</v>
      </c>
      <c r="E12" s="8">
        <f t="shared" si="1"/>
        <v>0.13385917011440376</v>
      </c>
      <c r="F12" s="8">
        <f t="shared" si="1"/>
        <v>0.0636276889523084</v>
      </c>
      <c r="G12" s="8">
        <v>0.0541</v>
      </c>
      <c r="H12" s="8">
        <v>0.0201</v>
      </c>
      <c r="I12" s="9">
        <f>(I$13/I$8)^(0.2)*I11</f>
        <v>2.6119969418933424</v>
      </c>
      <c r="J12" s="82">
        <v>332.56</v>
      </c>
      <c r="K12" s="84">
        <v>81.73600000000002</v>
      </c>
    </row>
    <row r="13" spans="1:11" s="81" customFormat="1" ht="12.75">
      <c r="A13" s="78">
        <v>2010</v>
      </c>
      <c r="B13" s="79">
        <v>0.06</v>
      </c>
      <c r="C13" s="80">
        <f>KeyFactors!D9</f>
        <v>0.809</v>
      </c>
      <c r="D13" s="80">
        <f>KeyFactors!D16</f>
        <v>0.31095862520089584</v>
      </c>
      <c r="E13" s="80">
        <f>KeyFactors!D21</f>
        <v>0.13509789566555913</v>
      </c>
      <c r="F13" s="80">
        <f>KeyFactors!D26</f>
        <v>0.0639</v>
      </c>
      <c r="G13" s="8">
        <v>0.0541</v>
      </c>
      <c r="H13" s="8">
        <v>0.0201</v>
      </c>
      <c r="I13" s="107">
        <f>KeyFactors!D41</f>
        <v>2.61</v>
      </c>
      <c r="J13" s="83">
        <v>332.41400000000004</v>
      </c>
      <c r="K13" s="85">
        <v>81.988</v>
      </c>
    </row>
    <row r="14" spans="1:11" ht="12.75">
      <c r="A14">
        <v>2011</v>
      </c>
      <c r="B14" s="5">
        <v>0.06</v>
      </c>
      <c r="C14" s="8">
        <f>(C$18/C$13)^(0.2)*C13</f>
        <v>0.8096987917629204</v>
      </c>
      <c r="D14" s="8">
        <f>(D$18/D$13)^(0.2)*D13</f>
        <v>0.31285024906827813</v>
      </c>
      <c r="E14" s="8">
        <f>(E$18/E$13)^(0.2)*E13</f>
        <v>0.13855617649904683</v>
      </c>
      <c r="F14" s="8">
        <f>(F$18/F$13)^(0.2)*F13</f>
        <v>0.06416774681171362</v>
      </c>
      <c r="G14" s="8">
        <v>0.0541</v>
      </c>
      <c r="H14" s="8">
        <v>0.0201</v>
      </c>
      <c r="I14" s="9">
        <f>(I$18/I$13)^(0.2)*I13</f>
        <v>2.61</v>
      </c>
      <c r="J14" s="82">
        <v>332.2739999999999</v>
      </c>
      <c r="K14" s="84">
        <v>82.22600000000001</v>
      </c>
    </row>
    <row r="15" spans="1:11" ht="12.75">
      <c r="A15">
        <v>2012</v>
      </c>
      <c r="B15" s="5">
        <v>0.06</v>
      </c>
      <c r="C15" s="8">
        <f aca="true" t="shared" si="2" ref="C15:F17">(C$18/C$13)^(0.2)*C14</f>
        <v>0.810398187122785</v>
      </c>
      <c r="D15" s="8">
        <f t="shared" si="2"/>
        <v>0.31475338006415166</v>
      </c>
      <c r="E15" s="8">
        <f t="shared" si="2"/>
        <v>0.14210298355468143</v>
      </c>
      <c r="F15" s="8">
        <f t="shared" si="2"/>
        <v>0.06443661550691994</v>
      </c>
      <c r="G15" s="8">
        <v>0.0541</v>
      </c>
      <c r="H15" s="8">
        <v>0.0201</v>
      </c>
      <c r="I15" s="9">
        <f>(I$18/I$13)^(0.2)*I14</f>
        <v>2.61</v>
      </c>
      <c r="J15" s="82">
        <v>332.14</v>
      </c>
      <c r="K15" s="84">
        <v>82.446</v>
      </c>
    </row>
    <row r="16" spans="1:11" ht="12.75">
      <c r="A16">
        <v>2013</v>
      </c>
      <c r="B16" s="5">
        <v>0.06</v>
      </c>
      <c r="C16" s="8">
        <f t="shared" si="2"/>
        <v>0.8110981866009642</v>
      </c>
      <c r="D16" s="8">
        <f t="shared" si="2"/>
        <v>0.31666808818869374</v>
      </c>
      <c r="E16" s="8">
        <f t="shared" si="2"/>
        <v>0.14574058295611944</v>
      </c>
      <c r="F16" s="8">
        <f t="shared" si="2"/>
        <v>0.06470661078641281</v>
      </c>
      <c r="G16" s="8">
        <v>0.0541</v>
      </c>
      <c r="H16" s="8">
        <v>0.0201</v>
      </c>
      <c r="I16" s="9">
        <f>(I$18/I$13)^(0.2)*I15</f>
        <v>2.61</v>
      </c>
      <c r="J16" s="82">
        <v>332.008</v>
      </c>
      <c r="K16" s="84">
        <v>82.652</v>
      </c>
    </row>
    <row r="17" spans="1:11" ht="12.75">
      <c r="A17">
        <v>2014</v>
      </c>
      <c r="B17" s="5">
        <v>0.06</v>
      </c>
      <c r="C17" s="8">
        <f t="shared" si="2"/>
        <v>0.8117987907192786</v>
      </c>
      <c r="D17" s="8">
        <f t="shared" si="2"/>
        <v>0.31859444386790686</v>
      </c>
      <c r="E17" s="8">
        <f t="shared" si="2"/>
        <v>0.14947129883600388</v>
      </c>
      <c r="F17" s="8">
        <f t="shared" si="2"/>
        <v>0.06497773737068285</v>
      </c>
      <c r="G17" s="8">
        <v>0.0541</v>
      </c>
      <c r="H17" s="8">
        <v>0.0201</v>
      </c>
      <c r="I17" s="9">
        <f>(I$18/I$13)^(0.2)*I16</f>
        <v>2.61</v>
      </c>
      <c r="J17" s="82">
        <v>331.87599999999986</v>
      </c>
      <c r="K17" s="84">
        <v>82.839</v>
      </c>
    </row>
    <row r="18" spans="1:11" s="81" customFormat="1" ht="12.75">
      <c r="A18" s="78">
        <v>2015</v>
      </c>
      <c r="B18" s="79">
        <v>0.06</v>
      </c>
      <c r="C18" s="80">
        <f>KeyFactors!E9</f>
        <v>0.8125</v>
      </c>
      <c r="D18" s="80">
        <f>KeyFactors!E16</f>
        <v>0.3205325179562088</v>
      </c>
      <c r="E18" s="80">
        <f>KeyFactors!E21</f>
        <v>0.15329751482089762</v>
      </c>
      <c r="F18" s="80">
        <f>KeyFactors!E26</f>
        <v>0.06525</v>
      </c>
      <c r="G18" s="8">
        <v>0.0541</v>
      </c>
      <c r="H18" s="8">
        <v>0.0201</v>
      </c>
      <c r="I18" s="107">
        <f>KeyFactors!E41</f>
        <v>2.61</v>
      </c>
      <c r="J18" s="83">
        <v>331.74300000000005</v>
      </c>
      <c r="K18" s="85">
        <v>83.01400000000001</v>
      </c>
    </row>
    <row r="19" spans="1:11" ht="12.75">
      <c r="A19">
        <v>2016</v>
      </c>
      <c r="B19" s="5">
        <v>0.06</v>
      </c>
      <c r="C19" s="8">
        <f>(C$23/C$18)^(0.2)*C18</f>
        <v>0.8114774293277405</v>
      </c>
      <c r="D19" s="8">
        <f>(D$23/D$18)^(0.2)*D18</f>
        <v>0.32360489917691854</v>
      </c>
      <c r="E19" s="8">
        <f>(E$23/E$18)^(0.2)*E18</f>
        <v>0.15768179602027213</v>
      </c>
      <c r="F19" s="8">
        <f>(F$23/F$18)^(0.2)*F18</f>
        <v>0.06551779286013344</v>
      </c>
      <c r="G19" s="8">
        <v>0.0541</v>
      </c>
      <c r="H19" s="8">
        <v>0.0201</v>
      </c>
      <c r="I19" s="9">
        <f>(I$23/I$18)^(0.2)*I18</f>
        <v>2.6079969278006616</v>
      </c>
      <c r="J19" s="82">
        <v>331.61</v>
      </c>
      <c r="K19" s="84">
        <v>83.17</v>
      </c>
    </row>
    <row r="20" spans="1:11" ht="12.75">
      <c r="A20">
        <v>2017</v>
      </c>
      <c r="B20" s="5">
        <v>0.06</v>
      </c>
      <c r="C20" s="8">
        <f aca="true" t="shared" si="3" ref="C20:F22">(C$23/C$18)^(0.2)*C19</f>
        <v>0.8104561456102868</v>
      </c>
      <c r="D20" s="8">
        <f t="shared" si="3"/>
        <v>0.32670672991003835</v>
      </c>
      <c r="E20" s="8">
        <f t="shared" si="3"/>
        <v>0.16219146686903296</v>
      </c>
      <c r="F20" s="8">
        <f t="shared" si="3"/>
        <v>0.06578668477031957</v>
      </c>
      <c r="G20" s="8">
        <v>0.0541</v>
      </c>
      <c r="H20" s="8">
        <v>0.0201</v>
      </c>
      <c r="I20" s="9">
        <f>(I$23/I$18)^(0.2)*I19</f>
        <v>2.605995392880341</v>
      </c>
      <c r="J20" s="82">
        <v>331.478</v>
      </c>
      <c r="K20" s="84">
        <v>83.30899999999998</v>
      </c>
    </row>
    <row r="21" spans="1:11" ht="12.75">
      <c r="A21">
        <v>2018</v>
      </c>
      <c r="B21" s="5">
        <v>0.06</v>
      </c>
      <c r="C21" s="8">
        <f t="shared" si="3"/>
        <v>0.8094361472279439</v>
      </c>
      <c r="D21" s="8">
        <f t="shared" si="3"/>
        <v>0.3298382924362225</v>
      </c>
      <c r="E21" s="8">
        <f t="shared" si="3"/>
        <v>0.16683011348847535</v>
      </c>
      <c r="F21" s="8">
        <f t="shared" si="3"/>
        <v>0.06605668024117536</v>
      </c>
      <c r="G21" s="8">
        <v>0.0541</v>
      </c>
      <c r="H21" s="8">
        <v>0.0201</v>
      </c>
      <c r="I21" s="9">
        <f>(I$23/I$18)^(0.2)*I20</f>
        <v>2.603995394059237</v>
      </c>
      <c r="J21" s="82">
        <v>331.345000000001</v>
      </c>
      <c r="K21" s="84">
        <v>83.43299999999999</v>
      </c>
    </row>
    <row r="22" spans="1:11" ht="12.75">
      <c r="A22">
        <v>2019</v>
      </c>
      <c r="B22" s="5">
        <v>0.06</v>
      </c>
      <c r="C22" s="8">
        <f t="shared" si="3"/>
        <v>0.8084174325630552</v>
      </c>
      <c r="D22" s="8">
        <f t="shared" si="3"/>
        <v>0.3329998717418531</v>
      </c>
      <c r="E22" s="8">
        <f t="shared" si="3"/>
        <v>0.17160142456231495</v>
      </c>
      <c r="F22" s="8">
        <f t="shared" si="3"/>
        <v>0.06632778380182983</v>
      </c>
      <c r="G22" s="8">
        <v>0.0541</v>
      </c>
      <c r="H22" s="8">
        <v>0.0201</v>
      </c>
      <c r="I22" s="9">
        <f>(I$23/I$18)^(0.2)*I21</f>
        <v>2.6019969301584536</v>
      </c>
      <c r="J22" s="82">
        <v>331.21</v>
      </c>
      <c r="K22" s="84">
        <v>83.541</v>
      </c>
    </row>
    <row r="23" spans="1:11" s="81" customFormat="1" ht="12.75">
      <c r="A23" s="78">
        <v>2020</v>
      </c>
      <c r="B23" s="79">
        <v>0.06</v>
      </c>
      <c r="C23" s="80">
        <f>KeyFactors!F9</f>
        <v>0.8074</v>
      </c>
      <c r="D23" s="80">
        <f>KeyFactors!F16</f>
        <v>0.3361917555449752</v>
      </c>
      <c r="E23" s="80">
        <f>KeyFactors!F21</f>
        <v>0.17650919426995457</v>
      </c>
      <c r="F23" s="80">
        <f>KeyFactors!F26</f>
        <v>0.06659999999999999</v>
      </c>
      <c r="G23" s="8">
        <v>0.0541</v>
      </c>
      <c r="H23" s="8">
        <v>0.0201</v>
      </c>
      <c r="I23" s="107">
        <f>KeyFactors!F41</f>
        <v>2.6</v>
      </c>
      <c r="J23" s="83">
        <v>331.077</v>
      </c>
      <c r="K23" s="85">
        <v>83.63400000000001</v>
      </c>
    </row>
    <row r="24" spans="1:11" ht="12.75">
      <c r="A24">
        <v>2021</v>
      </c>
      <c r="B24" s="5">
        <v>0.06</v>
      </c>
      <c r="C24" s="8">
        <f>(C$28/C$23)^(0.2)*C23</f>
        <v>0.8075599366242474</v>
      </c>
      <c r="D24" s="8">
        <f>(D$28/D$23)^(0.2)*D23</f>
        <v>0.3392527688891418</v>
      </c>
      <c r="E24" s="8">
        <f>(E$28/E$23)^(0.2)*E23</f>
        <v>0.18143020503210436</v>
      </c>
      <c r="F24" s="8">
        <f>(F$28/F$23)^(0.2)*F23</f>
        <v>0.06686783706402089</v>
      </c>
      <c r="G24" s="8">
        <v>0.0541</v>
      </c>
      <c r="H24" s="8">
        <v>0.0201</v>
      </c>
      <c r="I24" s="9">
        <f>(I$28/I$23)^(0.2)*I23</f>
        <v>2.6</v>
      </c>
      <c r="J24" s="82">
        <v>330.94300000000004</v>
      </c>
      <c r="K24" s="84">
        <v>83.709</v>
      </c>
    </row>
    <row r="25" spans="1:11" ht="12.75">
      <c r="A25">
        <v>2022</v>
      </c>
      <c r="B25" s="5">
        <v>0.06</v>
      </c>
      <c r="C25" s="8">
        <f aca="true" t="shared" si="4" ref="C25:F27">(C$28/C$23)^(0.2)*C24</f>
        <v>0.8077199049300947</v>
      </c>
      <c r="D25" s="8">
        <f t="shared" si="4"/>
        <v>0.3423416526451749</v>
      </c>
      <c r="E25" s="8">
        <f t="shared" si="4"/>
        <v>0.18648841174612144</v>
      </c>
      <c r="F25" s="8">
        <f t="shared" si="4"/>
        <v>0.06713675125556225</v>
      </c>
      <c r="G25" s="8">
        <v>0.0541</v>
      </c>
      <c r="H25" s="8">
        <v>0.0201</v>
      </c>
      <c r="I25" s="9">
        <f>(I$28/I$23)^(0.2)*I24</f>
        <v>2.6</v>
      </c>
      <c r="J25" s="82">
        <v>330.81</v>
      </c>
      <c r="K25" s="84">
        <v>83.76800000000001</v>
      </c>
    </row>
    <row r="26" spans="1:11" ht="12.75">
      <c r="A26">
        <v>2023</v>
      </c>
      <c r="B26" s="5">
        <v>0.06</v>
      </c>
      <c r="C26" s="8">
        <f t="shared" si="4"/>
        <v>0.8078799049238177</v>
      </c>
      <c r="D26" s="8">
        <f t="shared" si="4"/>
        <v>0.3454586605721308</v>
      </c>
      <c r="E26" s="8">
        <f t="shared" si="4"/>
        <v>0.19168763938417485</v>
      </c>
      <c r="F26" s="8">
        <f t="shared" si="4"/>
        <v>0.06740674690637592</v>
      </c>
      <c r="G26" s="8">
        <v>0.0541</v>
      </c>
      <c r="H26" s="8">
        <v>0.0201</v>
      </c>
      <c r="I26" s="9">
        <f>(I$28/I$23)^(0.2)*I25</f>
        <v>2.6</v>
      </c>
      <c r="J26" s="82">
        <v>330.676</v>
      </c>
      <c r="K26" s="84">
        <v>83.811</v>
      </c>
    </row>
    <row r="27" spans="1:11" ht="12.75">
      <c r="A27">
        <v>2024</v>
      </c>
      <c r="B27" s="5">
        <v>0.06</v>
      </c>
      <c r="C27" s="8">
        <f t="shared" si="4"/>
        <v>0.8080399366116934</v>
      </c>
      <c r="D27" s="8">
        <f t="shared" si="4"/>
        <v>0.3486040487395326</v>
      </c>
      <c r="E27" s="8">
        <f t="shared" si="4"/>
        <v>0.1970318195572367</v>
      </c>
      <c r="F27" s="8">
        <f t="shared" si="4"/>
        <v>0.06767782836563423</v>
      </c>
      <c r="G27" s="8">
        <v>0.0541</v>
      </c>
      <c r="H27" s="8">
        <v>0.0201</v>
      </c>
      <c r="I27" s="9">
        <f>(I$28/I$23)^(0.2)*I26</f>
        <v>2.6</v>
      </c>
      <c r="J27" s="82">
        <v>330.54200000000003</v>
      </c>
      <c r="K27" s="84">
        <v>83.83600000000001</v>
      </c>
    </row>
    <row r="28" spans="1:11" s="81" customFormat="1" ht="12.75">
      <c r="A28" s="78">
        <v>2025</v>
      </c>
      <c r="B28" s="79">
        <v>0.06</v>
      </c>
      <c r="C28" s="80">
        <f>KeyFactors!G9</f>
        <v>0.8082</v>
      </c>
      <c r="D28" s="80">
        <f>KeyFactors!G16</f>
        <v>0.3517780755484067</v>
      </c>
      <c r="E28" s="80">
        <f>KeyFactors!G21</f>
        <v>0.2025249934881323</v>
      </c>
      <c r="F28" s="80">
        <f>KeyFactors!G26</f>
        <v>0.06794999999999998</v>
      </c>
      <c r="G28" s="8">
        <v>0.0541</v>
      </c>
      <c r="H28" s="8">
        <v>0.0201</v>
      </c>
      <c r="I28" s="107">
        <f>KeyFactors!G41</f>
        <v>2.6</v>
      </c>
      <c r="J28" s="83">
        <v>330.41100000000006</v>
      </c>
      <c r="K28" s="85">
        <v>83.84200000000001</v>
      </c>
    </row>
    <row r="29" spans="1:11" ht="12.75">
      <c r="A29">
        <v>2026</v>
      </c>
      <c r="B29" s="5">
        <v>0.06</v>
      </c>
      <c r="C29" s="8">
        <f>(C$33/C$28)^(0.2)*C28</f>
        <v>0.8083399515223446</v>
      </c>
      <c r="D29" s="8">
        <f>(D$33/D$28)^(0.2)*D28</f>
        <v>0.3536286030525611</v>
      </c>
      <c r="E29" s="8">
        <f>(E$33/E$28)^(0.2)*E28</f>
        <v>0.20594418323396868</v>
      </c>
      <c r="F29" s="8">
        <f>(F$33/F$28)^(0.2)*F28</f>
        <v>0.0682178795320303</v>
      </c>
      <c r="G29" s="8">
        <v>0.0541</v>
      </c>
      <c r="H29" s="8">
        <v>0.0201</v>
      </c>
      <c r="I29" s="9">
        <f>(I$33/I$28)^(0.2)*I28</f>
        <v>2.6</v>
      </c>
      <c r="J29" s="86">
        <v>330.41100000000006</v>
      </c>
      <c r="K29" s="87">
        <v>83.84200000000001</v>
      </c>
    </row>
    <row r="30" spans="1:11" ht="12.75">
      <c r="A30">
        <v>2027</v>
      </c>
      <c r="B30" s="5">
        <v>0.06</v>
      </c>
      <c r="C30" s="8">
        <f aca="true" t="shared" si="5" ref="C30:F32">(C$33/C$28)^(0.2)*C29</f>
        <v>0.80847992727932</v>
      </c>
      <c r="D30" s="8">
        <f t="shared" si="5"/>
        <v>0.35548886525106305</v>
      </c>
      <c r="E30" s="8">
        <f t="shared" si="5"/>
        <v>0.20942109848971213</v>
      </c>
      <c r="F30" s="8">
        <f t="shared" si="5"/>
        <v>0.06848681512651361</v>
      </c>
      <c r="G30" s="8">
        <v>0.0541</v>
      </c>
      <c r="H30" s="8">
        <v>0.0201</v>
      </c>
      <c r="I30" s="9">
        <f>(I$33/I$28)^(0.2)*I29</f>
        <v>2.6</v>
      </c>
      <c r="J30" s="86">
        <v>330.41100000000006</v>
      </c>
      <c r="K30" s="87">
        <v>83.84200000000001</v>
      </c>
    </row>
    <row r="31" spans="1:11" ht="12.75">
      <c r="A31">
        <v>2028</v>
      </c>
      <c r="B31" s="5">
        <v>0.06</v>
      </c>
      <c r="C31" s="8">
        <f t="shared" si="5"/>
        <v>0.8086199272751228</v>
      </c>
      <c r="D31" s="8">
        <f t="shared" si="5"/>
        <v>0.35735891335324277</v>
      </c>
      <c r="E31" s="8">
        <f t="shared" si="5"/>
        <v>0.2129567138238253</v>
      </c>
      <c r="F31" s="8">
        <f t="shared" si="5"/>
        <v>0.06875681094676876</v>
      </c>
      <c r="G31" s="8">
        <v>0.0541</v>
      </c>
      <c r="H31" s="8">
        <v>0.0201</v>
      </c>
      <c r="I31" s="9">
        <f>(I$33/I$28)^(0.2)*I30</f>
        <v>2.6</v>
      </c>
      <c r="J31" s="86">
        <v>330.41100000000006</v>
      </c>
      <c r="K31" s="87">
        <v>83.84200000000001</v>
      </c>
    </row>
    <row r="32" spans="1:11" ht="12.75">
      <c r="A32">
        <v>2029</v>
      </c>
      <c r="B32" s="5">
        <v>0.06</v>
      </c>
      <c r="C32" s="8">
        <f t="shared" si="5"/>
        <v>0.8087599515139502</v>
      </c>
      <c r="D32" s="8">
        <f t="shared" si="5"/>
        <v>0.359238798837817</v>
      </c>
      <c r="E32" s="8">
        <f t="shared" si="5"/>
        <v>0.21655202025821907</v>
      </c>
      <c r="F32" s="8">
        <f t="shared" si="5"/>
        <v>0.06902787117252766</v>
      </c>
      <c r="G32" s="8">
        <v>0.0541</v>
      </c>
      <c r="H32" s="8">
        <v>0.0201</v>
      </c>
      <c r="I32" s="9">
        <f>(I$33/I$28)^(0.2)*I31</f>
        <v>2.6</v>
      </c>
      <c r="J32" s="86">
        <v>330.41100000000006</v>
      </c>
      <c r="K32" s="87">
        <v>83.84200000000001</v>
      </c>
    </row>
    <row r="33" spans="1:11" ht="12.75">
      <c r="A33" s="2">
        <v>2030</v>
      </c>
      <c r="B33" s="5">
        <v>0.06</v>
      </c>
      <c r="C33" s="80">
        <f>KeyFactors!H9</f>
        <v>0.8089</v>
      </c>
      <c r="D33" s="80">
        <f>KeyFactors!H16</f>
        <v>0.3611285734543061</v>
      </c>
      <c r="E33" s="80">
        <f>KeyFactors!H21</f>
        <v>0.22020802554603272</v>
      </c>
      <c r="F33" s="80">
        <f>KeyFactors!H26</f>
        <v>0.06929999999999999</v>
      </c>
      <c r="G33" s="8">
        <v>0.0541</v>
      </c>
      <c r="H33" s="8">
        <v>0.0201</v>
      </c>
      <c r="I33" s="107">
        <f>KeyFactors!H41</f>
        <v>2.6</v>
      </c>
      <c r="J33" s="86">
        <v>330.41100000000006</v>
      </c>
      <c r="K33" s="87">
        <v>83.84200000000001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K3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" sqref="F3"/>
    </sheetView>
  </sheetViews>
  <sheetFormatPr defaultColWidth="9.140625" defaultRowHeight="12.75"/>
  <cols>
    <col min="2" max="13" width="12.7109375" style="0" customWidth="1"/>
  </cols>
  <sheetData>
    <row r="2" spans="1:11" ht="38.25">
      <c r="A2" s="2" t="s">
        <v>114</v>
      </c>
      <c r="B2" s="77" t="s">
        <v>115</v>
      </c>
      <c r="C2" s="77" t="s">
        <v>3</v>
      </c>
      <c r="D2" s="77" t="s">
        <v>116</v>
      </c>
      <c r="E2" s="77" t="s">
        <v>117</v>
      </c>
      <c r="F2" s="77" t="s">
        <v>342</v>
      </c>
      <c r="G2" s="77" t="s">
        <v>118</v>
      </c>
      <c r="H2" s="77" t="s">
        <v>119</v>
      </c>
      <c r="I2" s="77" t="s">
        <v>120</v>
      </c>
      <c r="J2" s="77" t="s">
        <v>121</v>
      </c>
      <c r="K2" s="77" t="s">
        <v>122</v>
      </c>
    </row>
    <row r="3" spans="1:11" ht="12.75">
      <c r="A3" s="2">
        <v>2000</v>
      </c>
      <c r="B3" s="5">
        <v>0.06</v>
      </c>
      <c r="C3" s="8">
        <v>0.7847</v>
      </c>
      <c r="D3" s="8">
        <v>0.3305806883005621</v>
      </c>
      <c r="E3" s="8">
        <v>0.13048489008118738</v>
      </c>
      <c r="F3" s="80">
        <f>KeyFactors!B25</f>
        <v>0.0612</v>
      </c>
      <c r="G3" s="8">
        <v>0.0541</v>
      </c>
      <c r="H3" s="8">
        <v>0.0201</v>
      </c>
      <c r="I3" s="9">
        <v>2.60768</v>
      </c>
      <c r="J3" s="82">
        <v>342.57599999999996</v>
      </c>
      <c r="K3" s="84">
        <v>79.25</v>
      </c>
    </row>
    <row r="4" spans="1:11" ht="12.75">
      <c r="A4">
        <v>2001</v>
      </c>
      <c r="B4" s="5">
        <v>0.06</v>
      </c>
      <c r="C4" s="8">
        <f>(C$8/C$3)^(0.2)*C3</f>
        <v>0.7910368244451859</v>
      </c>
      <c r="D4" s="8">
        <f>(D$8/D$3)^(0.2)*D3</f>
        <v>0.3280257519613347</v>
      </c>
      <c r="E4" s="8">
        <f>(E$8/E$3)^(0.2)*E3</f>
        <v>0.13026999642861986</v>
      </c>
      <c r="F4" s="8">
        <f>(F$8/F$3)^(0.2)*F3</f>
        <v>0.06133936383797788</v>
      </c>
      <c r="G4" s="8">
        <v>0.0541</v>
      </c>
      <c r="H4" s="8">
        <v>0.0201</v>
      </c>
      <c r="I4" s="9">
        <v>2.607</v>
      </c>
      <c r="J4" s="82">
        <v>332.9819999999999</v>
      </c>
      <c r="K4" s="84">
        <v>79.25</v>
      </c>
    </row>
    <row r="5" spans="1:11" ht="12.75">
      <c r="A5">
        <v>2002</v>
      </c>
      <c r="B5" s="5">
        <v>0.06</v>
      </c>
      <c r="C5" s="8">
        <f aca="true" t="shared" si="0" ref="C5:F7">(C$8/C$3)^(0.2)*C4</f>
        <v>0.7974248217514003</v>
      </c>
      <c r="D5" s="8">
        <f t="shared" si="0"/>
        <v>0.32549056178372093</v>
      </c>
      <c r="E5" s="8">
        <f t="shared" si="0"/>
        <v>0.13005545668125842</v>
      </c>
      <c r="F5" s="8">
        <f t="shared" si="0"/>
        <v>0.06147904503346126</v>
      </c>
      <c r="G5" s="8">
        <v>0.0541</v>
      </c>
      <c r="H5" s="8">
        <v>0.0201</v>
      </c>
      <c r="I5" s="9">
        <v>2.607</v>
      </c>
      <c r="J5" s="82">
        <v>333.423</v>
      </c>
      <c r="K5" s="84">
        <v>79.576</v>
      </c>
    </row>
    <row r="6" spans="1:11" ht="12.75">
      <c r="A6">
        <v>2003</v>
      </c>
      <c r="B6" s="5">
        <v>0.06</v>
      </c>
      <c r="C6" s="8">
        <f t="shared" si="0"/>
        <v>0.8038644051637518</v>
      </c>
      <c r="D6" s="8">
        <f t="shared" si="0"/>
        <v>0.32297496515691293</v>
      </c>
      <c r="E6" s="8">
        <f t="shared" si="0"/>
        <v>0.12984127025626177</v>
      </c>
      <c r="F6" s="8">
        <f t="shared" si="0"/>
        <v>0.061619044309132474</v>
      </c>
      <c r="G6" s="8">
        <v>0.0541</v>
      </c>
      <c r="H6" s="8">
        <v>0.0201</v>
      </c>
      <c r="I6" s="9">
        <v>2.607</v>
      </c>
      <c r="J6" s="82">
        <v>333.653</v>
      </c>
      <c r="K6" s="84">
        <v>79.92100000000002</v>
      </c>
    </row>
    <row r="7" spans="1:11" ht="12.75">
      <c r="A7">
        <v>2004</v>
      </c>
      <c r="B7" s="5">
        <v>0.06</v>
      </c>
      <c r="C7" s="8">
        <f t="shared" si="0"/>
        <v>0.8103559912644992</v>
      </c>
      <c r="D7" s="8">
        <f t="shared" si="0"/>
        <v>0.32047881064957573</v>
      </c>
      <c r="E7" s="8">
        <f t="shared" si="0"/>
        <v>0.12962743657174847</v>
      </c>
      <c r="F7" s="8">
        <f t="shared" si="0"/>
        <v>0.06175936238931957</v>
      </c>
      <c r="G7" s="8">
        <v>0.0541</v>
      </c>
      <c r="H7" s="8">
        <v>0.0201</v>
      </c>
      <c r="I7" s="9">
        <v>2.607</v>
      </c>
      <c r="J7" s="82">
        <v>333.595</v>
      </c>
      <c r="K7" s="84">
        <v>80.24900000000001</v>
      </c>
    </row>
    <row r="8" spans="1:11" s="81" customFormat="1" ht="12.75">
      <c r="A8" s="78">
        <v>2005</v>
      </c>
      <c r="B8" s="79">
        <v>0.06</v>
      </c>
      <c r="C8" s="79">
        <f>KeyFactors!C8</f>
        <v>0.8169000000000001</v>
      </c>
      <c r="D8" s="79">
        <f>KeyFactors!C15</f>
        <v>0.3180019480007313</v>
      </c>
      <c r="E8" s="80">
        <f>KeyFactors!C20</f>
        <v>0.12941395504679543</v>
      </c>
      <c r="F8" s="80">
        <f>KeyFactors!C25</f>
        <v>0.0619</v>
      </c>
      <c r="G8" s="8">
        <v>0.0541</v>
      </c>
      <c r="H8" s="80">
        <f>KeyFactors!C35</f>
        <v>0.020099999999999996</v>
      </c>
      <c r="I8" s="107">
        <f>KeyFactors!C40</f>
        <v>2.62</v>
      </c>
      <c r="J8" s="83">
        <v>333.311</v>
      </c>
      <c r="K8" s="85">
        <v>80.575</v>
      </c>
    </row>
    <row r="9" spans="1:11" ht="12.75">
      <c r="A9">
        <v>2006</v>
      </c>
      <c r="B9" s="5">
        <v>0.06</v>
      </c>
      <c r="C9" s="8">
        <f>(C$13/C$8)^(0.2)*C8</f>
        <v>0.8193057880124447</v>
      </c>
      <c r="D9" s="8">
        <f>(D$13/D$8)^(0.2)*D8</f>
        <v>0.3157410842488296</v>
      </c>
      <c r="E9" s="8">
        <f>(E$13/E$8)^(0.2)*E8</f>
        <v>0.1306926743092846</v>
      </c>
      <c r="F9" s="8">
        <f>(F$13/F$8)^(0.2)*F8</f>
        <v>0.06203937098368079</v>
      </c>
      <c r="G9" s="8">
        <v>0.0541</v>
      </c>
      <c r="H9" s="8">
        <f>(H$13/H$8)^(0.2)*H8</f>
        <v>0.020139841739920887</v>
      </c>
      <c r="I9" s="9">
        <f>(I$13/I$8)^(0.2)*I8</f>
        <v>2.6159877300180807</v>
      </c>
      <c r="J9" s="82">
        <v>333.08099999999996</v>
      </c>
      <c r="K9" s="84">
        <v>80.88800000000002</v>
      </c>
    </row>
    <row r="10" spans="1:11" ht="12.75">
      <c r="A10">
        <v>2007</v>
      </c>
      <c r="B10" s="5">
        <v>0.06</v>
      </c>
      <c r="C10" s="8">
        <f aca="true" t="shared" si="1" ref="C10:H12">(C$13/C$8)^(0.2)*C9</f>
        <v>0.8217186611221605</v>
      </c>
      <c r="D10" s="8">
        <f t="shared" si="1"/>
        <v>0.3134962943132576</v>
      </c>
      <c r="E10" s="8">
        <f t="shared" si="1"/>
        <v>0.1319840283989195</v>
      </c>
      <c r="F10" s="8">
        <f t="shared" si="1"/>
        <v>0.06217905576818698</v>
      </c>
      <c r="G10" s="8">
        <v>0.0541</v>
      </c>
      <c r="H10" s="8">
        <f t="shared" si="1"/>
        <v>0.020179762453187047</v>
      </c>
      <c r="I10" s="9">
        <f>(I$13/I$8)^(0.2)*I9</f>
        <v>2.611981604429447</v>
      </c>
      <c r="J10" s="82">
        <v>332.88699999999994</v>
      </c>
      <c r="K10" s="84">
        <v>81.185</v>
      </c>
    </row>
    <row r="11" spans="1:11" ht="12.75">
      <c r="A11">
        <v>2008</v>
      </c>
      <c r="B11" s="5">
        <v>0.06</v>
      </c>
      <c r="C11" s="8">
        <f t="shared" si="1"/>
        <v>0.8241386401949109</v>
      </c>
      <c r="D11" s="8">
        <f t="shared" si="1"/>
        <v>0.3112674639157572</v>
      </c>
      <c r="E11" s="8">
        <f t="shared" si="1"/>
        <v>0.13328814215847187</v>
      </c>
      <c r="F11" s="8">
        <f t="shared" si="1"/>
        <v>0.06231905506005702</v>
      </c>
      <c r="G11" s="8">
        <v>0.0541</v>
      </c>
      <c r="H11" s="8">
        <f t="shared" si="1"/>
        <v>0.020219762296337557</v>
      </c>
      <c r="I11" s="9">
        <f>(I$13/I$8)^(0.2)*I10</f>
        <v>2.60798161382457</v>
      </c>
      <c r="J11" s="82">
        <v>332.715</v>
      </c>
      <c r="K11" s="84">
        <v>81.46900000000002</v>
      </c>
    </row>
    <row r="12" spans="1:11" ht="12.75">
      <c r="A12">
        <v>2009</v>
      </c>
      <c r="B12" s="5">
        <v>0.06</v>
      </c>
      <c r="C12" s="8">
        <f t="shared" si="1"/>
        <v>0.8265657461579092</v>
      </c>
      <c r="D12" s="8">
        <f t="shared" si="1"/>
        <v>0.309054479590542</v>
      </c>
      <c r="E12" s="8">
        <f t="shared" si="1"/>
        <v>0.13460514166426554</v>
      </c>
      <c r="F12" s="8">
        <f t="shared" si="1"/>
        <v>0.06245936956742015</v>
      </c>
      <c r="G12" s="8">
        <v>0.0541</v>
      </c>
      <c r="H12" s="8">
        <f t="shared" si="1"/>
        <v>0.020259841426221784</v>
      </c>
      <c r="I12" s="9">
        <f>(I$13/I$8)^(0.2)*I11</f>
        <v>2.603987748808331</v>
      </c>
      <c r="J12" s="82">
        <v>332.56</v>
      </c>
      <c r="K12" s="84">
        <v>81.73600000000002</v>
      </c>
    </row>
    <row r="13" spans="1:11" s="81" customFormat="1" ht="12.75">
      <c r="A13" s="78">
        <v>2010</v>
      </c>
      <c r="B13" s="79">
        <v>0.06</v>
      </c>
      <c r="C13" s="79">
        <f>KeyFactors!D8</f>
        <v>0.8290000000000001</v>
      </c>
      <c r="D13" s="79">
        <f>KeyFactors!D15</f>
        <v>0.3068572286785209</v>
      </c>
      <c r="E13" s="80">
        <f>KeyFactors!D20</f>
        <v>0.13593515423836502</v>
      </c>
      <c r="F13" s="80">
        <f>KeyFactors!D25</f>
        <v>0.0626</v>
      </c>
      <c r="G13" s="8">
        <v>0.0541</v>
      </c>
      <c r="H13" s="80">
        <f>KeyFactors!D35</f>
        <v>0.0203</v>
      </c>
      <c r="I13" s="107">
        <f>KeyFactors!D40</f>
        <v>2.6</v>
      </c>
      <c r="J13" s="83">
        <v>332.41400000000004</v>
      </c>
      <c r="K13" s="85">
        <v>81.988</v>
      </c>
    </row>
    <row r="14" spans="1:11" ht="12.75">
      <c r="A14">
        <v>2011</v>
      </c>
      <c r="B14" s="5">
        <v>0.06</v>
      </c>
      <c r="C14" s="8">
        <f>(C$18/C$13)^(0.2)*C13</f>
        <v>0.8296988208385957</v>
      </c>
      <c r="D14" s="8">
        <f>(D$18/D$13)^(0.2)*D13</f>
        <v>0.3078078734618511</v>
      </c>
      <c r="E14" s="8">
        <f>(E$18/E$13)^(0.2)*E13</f>
        <v>0.1395222130048568</v>
      </c>
      <c r="F14" s="8">
        <f>(F$18/F$13)^(0.2)*F13</f>
        <v>0.06273937797063713</v>
      </c>
      <c r="G14" s="8">
        <v>0.0541</v>
      </c>
      <c r="H14" s="8">
        <f>(H$18/H$13)^(0.2)*H13</f>
        <v>0.020359648432968343</v>
      </c>
      <c r="I14" s="9">
        <f>(I$18/I$13)^(0.2)*I13</f>
        <v>2.5979969159571583</v>
      </c>
      <c r="J14" s="82">
        <v>332.2739999999999</v>
      </c>
      <c r="K14" s="84">
        <v>82.22600000000001</v>
      </c>
    </row>
    <row r="15" spans="1:11" ht="12.75">
      <c r="A15">
        <v>2012</v>
      </c>
      <c r="B15" s="5">
        <v>0.06</v>
      </c>
      <c r="C15" s="8">
        <f aca="true" t="shared" si="2" ref="C15:H17">(C$18/C$13)^(0.2)*C14</f>
        <v>0.830398230761105</v>
      </c>
      <c r="D15" s="8">
        <f t="shared" si="2"/>
        <v>0.30876146334609345</v>
      </c>
      <c r="E15" s="8">
        <f t="shared" si="2"/>
        <v>0.14320392712865004</v>
      </c>
      <c r="F15" s="8">
        <f t="shared" si="2"/>
        <v>0.06287906626425667</v>
      </c>
      <c r="G15" s="8">
        <v>0.0541</v>
      </c>
      <c r="H15" s="8">
        <f t="shared" si="2"/>
        <v>0.020419472133698047</v>
      </c>
      <c r="I15" s="9">
        <f>(I$18/I$13)^(0.2)*I14</f>
        <v>2.5959953751241946</v>
      </c>
      <c r="J15" s="82">
        <v>332.14</v>
      </c>
      <c r="K15" s="84">
        <v>82.446</v>
      </c>
    </row>
    <row r="16" spans="1:11" ht="12.75">
      <c r="A16">
        <v>2013</v>
      </c>
      <c r="B16" s="5">
        <v>0.06</v>
      </c>
      <c r="C16" s="8">
        <f t="shared" si="2"/>
        <v>0.8310982302641071</v>
      </c>
      <c r="D16" s="8">
        <f t="shared" si="2"/>
        <v>0.30971800745518097</v>
      </c>
      <c r="E16" s="8">
        <f t="shared" si="2"/>
        <v>0.1469827943766477</v>
      </c>
      <c r="F16" s="8">
        <f t="shared" si="2"/>
        <v>0.06301906557178813</v>
      </c>
      <c r="G16" s="8">
        <v>0.0541</v>
      </c>
      <c r="H16" s="8">
        <f t="shared" si="2"/>
        <v>0.020479471617186513</v>
      </c>
      <c r="I16" s="9">
        <f>(I$18/I$13)^(0.2)*I15</f>
        <v>2.593995376312194</v>
      </c>
      <c r="J16" s="82">
        <v>332.008</v>
      </c>
      <c r="K16" s="84">
        <v>82.652</v>
      </c>
    </row>
    <row r="17" spans="1:11" ht="12.75">
      <c r="A17">
        <v>2014</v>
      </c>
      <c r="B17" s="5">
        <v>0.06</v>
      </c>
      <c r="C17" s="8">
        <f t="shared" si="2"/>
        <v>0.8317988198445998</v>
      </c>
      <c r="D17" s="8">
        <f t="shared" si="2"/>
        <v>0.3106775149413128</v>
      </c>
      <c r="E17" s="8">
        <f t="shared" si="2"/>
        <v>0.15086137842686104</v>
      </c>
      <c r="F17" s="8">
        <f t="shared" si="2"/>
        <v>0.06315937658569938</v>
      </c>
      <c r="G17" s="8">
        <v>0.0541</v>
      </c>
      <c r="H17" s="8">
        <f t="shared" si="2"/>
        <v>0.020539647399944388</v>
      </c>
      <c r="I17" s="9">
        <f>(I$18/I$13)^(0.2)*I16</f>
        <v>2.591996918333157</v>
      </c>
      <c r="J17" s="82">
        <v>331.87599999999986</v>
      </c>
      <c r="K17" s="84">
        <v>82.839</v>
      </c>
    </row>
    <row r="18" spans="1:11" s="81" customFormat="1" ht="12.75">
      <c r="A18" s="78">
        <v>2015</v>
      </c>
      <c r="B18" s="79">
        <v>0.06</v>
      </c>
      <c r="C18" s="79">
        <f>KeyFactors!E8</f>
        <v>0.8325</v>
      </c>
      <c r="D18" s="79">
        <f>KeyFactors!E15</f>
        <v>0.3116399949850414</v>
      </c>
      <c r="E18" s="80">
        <f>KeyFactors!E20</f>
        <v>0.15484231060767265</v>
      </c>
      <c r="F18" s="80">
        <f>KeyFactors!E25</f>
        <v>0.0633</v>
      </c>
      <c r="G18" s="8">
        <v>0.0541</v>
      </c>
      <c r="H18" s="80">
        <f>KeyFactors!E35</f>
        <v>0.0206</v>
      </c>
      <c r="I18" s="107">
        <f>KeyFactors!E40</f>
        <v>2.59</v>
      </c>
      <c r="J18" s="83">
        <v>331.74300000000005</v>
      </c>
      <c r="K18" s="85">
        <v>83.01400000000001</v>
      </c>
    </row>
    <row r="19" spans="1:11" ht="12.75">
      <c r="A19">
        <v>2016</v>
      </c>
      <c r="B19" s="5">
        <v>0.06</v>
      </c>
      <c r="C19" s="8">
        <f>(C$23/C$18)^(0.2)*C18</f>
        <v>0.8314774913137565</v>
      </c>
      <c r="D19" s="8">
        <f>(D$23/D$18)^(0.2)*D18</f>
        <v>0.3137121471297495</v>
      </c>
      <c r="E19" s="8">
        <f>(E$23/E$18)^(0.2)*E18</f>
        <v>0.1594550651240126</v>
      </c>
      <c r="F19" s="8">
        <f>(F$23/F$18)^(0.2)*F18</f>
        <v>0.06343938480407879</v>
      </c>
      <c r="G19" s="8">
        <v>0.0541</v>
      </c>
      <c r="H19" s="8">
        <f>(H$23/H$18)^(0.2)*H18</f>
        <v>0.020699043029274524</v>
      </c>
      <c r="I19" s="9">
        <f>(I$23/I$18)^(0.2)*I18</f>
        <v>2.5879969040219866</v>
      </c>
      <c r="J19" s="82">
        <v>331.61</v>
      </c>
      <c r="K19" s="84">
        <v>83.17</v>
      </c>
    </row>
    <row r="20" spans="1:11" ht="12.75">
      <c r="A20">
        <v>2017</v>
      </c>
      <c r="B20" s="5">
        <v>0.06</v>
      </c>
      <c r="C20" s="8">
        <f aca="true" t="shared" si="3" ref="C20:H22">(C$23/C$18)^(0.2)*C19</f>
        <v>0.8304562385122138</v>
      </c>
      <c r="D20" s="8">
        <f t="shared" si="3"/>
        <v>0.3157980773985107</v>
      </c>
      <c r="E20" s="8">
        <f t="shared" si="3"/>
        <v>0.16420523365945702</v>
      </c>
      <c r="F20" s="8">
        <f t="shared" si="3"/>
        <v>0.0635790765295416</v>
      </c>
      <c r="G20" s="8">
        <v>0.0541</v>
      </c>
      <c r="H20" s="8">
        <f t="shared" si="3"/>
        <v>0.020798562248920304</v>
      </c>
      <c r="I20" s="9">
        <f>(I$23/I$18)^(0.2)*I19</f>
        <v>2.5859953572306518</v>
      </c>
      <c r="J20" s="82">
        <v>331.478</v>
      </c>
      <c r="K20" s="84">
        <v>83.30899999999998</v>
      </c>
    </row>
    <row r="21" spans="1:11" ht="12.75">
      <c r="A21">
        <v>2018</v>
      </c>
      <c r="B21" s="5">
        <v>0.06</v>
      </c>
      <c r="C21" s="8">
        <f t="shared" si="3"/>
        <v>0.8294362400528459</v>
      </c>
      <c r="D21" s="8">
        <f t="shared" si="3"/>
        <v>0.31789787740462805</v>
      </c>
      <c r="E21" s="8">
        <f t="shared" si="3"/>
        <v>0.1690969097794838</v>
      </c>
      <c r="F21" s="8">
        <f t="shared" si="3"/>
        <v>0.0637190758522206</v>
      </c>
      <c r="G21" s="8">
        <v>0.0541</v>
      </c>
      <c r="H21" s="8">
        <f t="shared" si="3"/>
        <v>0.02089855994841971</v>
      </c>
      <c r="I21" s="9">
        <f>(I$23/I$18)^(0.2)*I20</f>
        <v>2.58399535842786</v>
      </c>
      <c r="J21" s="82">
        <v>331.345000000001</v>
      </c>
      <c r="K21" s="84">
        <v>83.43299999999999</v>
      </c>
    </row>
    <row r="22" spans="1:11" ht="12.75">
      <c r="A22">
        <v>2019</v>
      </c>
      <c r="B22" s="5">
        <v>0.06</v>
      </c>
      <c r="C22" s="8">
        <f t="shared" si="3"/>
        <v>0.828417494395021</v>
      </c>
      <c r="D22" s="8">
        <f t="shared" si="3"/>
        <v>0.3200116393705585</v>
      </c>
      <c r="E22" s="8">
        <f t="shared" si="3"/>
        <v>0.1741343089969416</v>
      </c>
      <c r="F22" s="8">
        <f t="shared" si="3"/>
        <v>0.06385938344943613</v>
      </c>
      <c r="G22" s="8">
        <v>0.0541</v>
      </c>
      <c r="H22" s="8">
        <f t="shared" si="3"/>
        <v>0.020999038428262756</v>
      </c>
      <c r="I22" s="9">
        <f>(I$23/I$18)^(0.2)*I21</f>
        <v>2.581996906416404</v>
      </c>
      <c r="J22" s="82">
        <v>331.21</v>
      </c>
      <c r="K22" s="84">
        <v>83.541</v>
      </c>
    </row>
    <row r="23" spans="1:11" s="81" customFormat="1" ht="12.75">
      <c r="A23" s="78">
        <v>2020</v>
      </c>
      <c r="B23" s="79">
        <v>0.06</v>
      </c>
      <c r="C23" s="79">
        <f>KeyFactors!F8</f>
        <v>0.8274</v>
      </c>
      <c r="D23" s="80">
        <f>KeyFactors!F15</f>
        <v>0.32213945613196304</v>
      </c>
      <c r="E23" s="80">
        <f>KeyFactors!F20</f>
        <v>0.17932177240486352</v>
      </c>
      <c r="F23" s="80">
        <f>KeyFactors!F25</f>
        <v>0.064</v>
      </c>
      <c r="G23" s="8">
        <v>0.0541</v>
      </c>
      <c r="H23" s="80">
        <f>KeyFactors!F35</f>
        <v>0.0211</v>
      </c>
      <c r="I23" s="107">
        <f>KeyFactors!F40</f>
        <v>2.58</v>
      </c>
      <c r="J23" s="83">
        <v>331.077</v>
      </c>
      <c r="K23" s="85">
        <v>83.63400000000001</v>
      </c>
    </row>
    <row r="24" spans="1:11" ht="12.75">
      <c r="A24">
        <v>2021</v>
      </c>
      <c r="B24" s="5">
        <v>0.06</v>
      </c>
      <c r="C24" s="8">
        <f>(C$28/C$23)^(0.2)*C23</f>
        <v>0.8275599381552847</v>
      </c>
      <c r="D24" s="8">
        <f>(D$28/D$23)^(0.2)*D23</f>
        <v>0.3243192880727417</v>
      </c>
      <c r="E24" s="8">
        <f>(E$28/E$23)^(0.2)*E23</f>
        <v>0.18465078552638772</v>
      </c>
      <c r="F24" s="8">
        <f>(F$28/F$23)^(0.2)*F23</f>
        <v>0.06413939148901031</v>
      </c>
      <c r="G24" s="8">
        <v>0.0541</v>
      </c>
      <c r="H24" s="8">
        <f>(H$28/H$23)^(0.2)*H23</f>
        <v>0.02119906538989021</v>
      </c>
      <c r="I24" s="9">
        <f>(I$28/I$23)^(0.2)*I23</f>
        <v>2.5739718967245153</v>
      </c>
      <c r="J24" s="82">
        <v>330.94300000000004</v>
      </c>
      <c r="K24" s="84">
        <v>83.709</v>
      </c>
    </row>
    <row r="25" spans="1:11" ht="12.75">
      <c r="A25">
        <v>2022</v>
      </c>
      <c r="B25" s="5">
        <v>0.06</v>
      </c>
      <c r="C25" s="8">
        <f aca="true" t="shared" si="4" ref="C25:H27">(C$28/C$23)^(0.2)*C24</f>
        <v>0.8277199072269502</v>
      </c>
      <c r="D25" s="8">
        <f t="shared" si="4"/>
        <v>0.3265138703559562</v>
      </c>
      <c r="E25" s="8">
        <f t="shared" si="4"/>
        <v>0.19013816414067128</v>
      </c>
      <c r="F25" s="8">
        <f t="shared" si="4"/>
        <v>0.06427908657157075</v>
      </c>
      <c r="G25" s="8">
        <v>0.0541</v>
      </c>
      <c r="H25" s="8">
        <f t="shared" si="4"/>
        <v>0.021298595895964025</v>
      </c>
      <c r="I25" s="9">
        <f>(I$28/I$23)^(0.2)*I24</f>
        <v>2.567957877956434</v>
      </c>
      <c r="J25" s="82">
        <v>330.81</v>
      </c>
      <c r="K25" s="84">
        <v>83.76800000000001</v>
      </c>
    </row>
    <row r="26" spans="1:11" ht="12.75">
      <c r="A26">
        <v>2023</v>
      </c>
      <c r="B26" s="5">
        <v>0.06</v>
      </c>
      <c r="C26" s="8">
        <f t="shared" si="4"/>
        <v>0.8278799072209728</v>
      </c>
      <c r="D26" s="8">
        <f t="shared" si="4"/>
        <v>0.32872330279324696</v>
      </c>
      <c r="E26" s="8">
        <f t="shared" si="4"/>
        <v>0.19578861449045087</v>
      </c>
      <c r="F26" s="8">
        <f t="shared" si="4"/>
        <v>0.06441908590890565</v>
      </c>
      <c r="G26" s="8">
        <v>0.0541</v>
      </c>
      <c r="H26" s="8">
        <f t="shared" si="4"/>
        <v>0.02139859370196155</v>
      </c>
      <c r="I26" s="9">
        <f>(I$28/I$23)^(0.2)*I25</f>
        <v>2.5619579107876684</v>
      </c>
      <c r="J26" s="82">
        <v>330.676</v>
      </c>
      <c r="K26" s="84">
        <v>83.811</v>
      </c>
    </row>
    <row r="27" spans="1:11" ht="12.75">
      <c r="A27">
        <v>2024</v>
      </c>
      <c r="B27" s="5">
        <v>0.06</v>
      </c>
      <c r="C27" s="8">
        <f t="shared" si="4"/>
        <v>0.8280399381433298</v>
      </c>
      <c r="D27" s="8">
        <f t="shared" si="4"/>
        <v>0.33094768587165335</v>
      </c>
      <c r="E27" s="8">
        <f t="shared" si="4"/>
        <v>0.20160698267671334</v>
      </c>
      <c r="F27" s="8">
        <f t="shared" si="4"/>
        <v>0.06455939016367948</v>
      </c>
      <c r="G27" s="8">
        <v>0.0541</v>
      </c>
      <c r="H27" s="8">
        <f t="shared" si="4"/>
        <v>0.021499061001875625</v>
      </c>
      <c r="I27" s="9">
        <f>(I$28/I$23)^(0.2)*I26</f>
        <v>2.5559719623870203</v>
      </c>
      <c r="J27" s="82">
        <v>330.54200000000003</v>
      </c>
      <c r="K27" s="84">
        <v>83.83600000000001</v>
      </c>
    </row>
    <row r="28" spans="1:11" s="81" customFormat="1" ht="12.75">
      <c r="A28" s="78">
        <v>2025</v>
      </c>
      <c r="B28" s="79">
        <v>0.06</v>
      </c>
      <c r="C28" s="79">
        <f>KeyFactors!G8</f>
        <v>0.8282</v>
      </c>
      <c r="D28" s="80">
        <f>KeyFactors!G15</f>
        <v>0.33318712075818346</v>
      </c>
      <c r="E28" s="80">
        <f>KeyFactors!G20</f>
        <v>0.20759825881494756</v>
      </c>
      <c r="F28" s="80">
        <f>KeyFactors!G25</f>
        <v>0.06470000000000001</v>
      </c>
      <c r="G28" s="8">
        <v>0.0541</v>
      </c>
      <c r="H28" s="80">
        <f>KeyFactors!G35</f>
        <v>0.0216</v>
      </c>
      <c r="I28" s="107">
        <f>KeyFactors!G40</f>
        <v>2.55</v>
      </c>
      <c r="J28" s="83">
        <v>330.41100000000006</v>
      </c>
      <c r="K28" s="85">
        <v>83.84200000000001</v>
      </c>
    </row>
    <row r="29" spans="1:11" ht="12.75">
      <c r="A29">
        <v>2026</v>
      </c>
      <c r="B29" s="5">
        <v>0.06</v>
      </c>
      <c r="C29" s="8">
        <f>(C$33/C$28)^(0.2)*C28</f>
        <v>0.8283399526924263</v>
      </c>
      <c r="D29" s="8">
        <f>(D$33/D$28)^(0.2)*D28</f>
        <v>0.3342832979960194</v>
      </c>
      <c r="E29" s="8">
        <f>(E$33/E$28)^(0.2)*E28</f>
        <v>0.21156685318369278</v>
      </c>
      <c r="F29" s="8">
        <f>(F$33/F$28)^(0.2)*F28</f>
        <v>0.06483939803022098</v>
      </c>
      <c r="G29" s="8">
        <v>0.0541</v>
      </c>
      <c r="H29" s="8">
        <f>(H$33/H$28)^(0.2)*H28</f>
        <v>0.02165966941772021</v>
      </c>
      <c r="I29" s="9">
        <f>(I$33/I$28)^(0.2)*I28</f>
        <v>2.55</v>
      </c>
      <c r="J29" s="86">
        <v>330.41100000000006</v>
      </c>
      <c r="K29" s="87">
        <v>83.84200000000001</v>
      </c>
    </row>
    <row r="30" spans="1:11" ht="12.75">
      <c r="A30">
        <v>2027</v>
      </c>
      <c r="B30" s="5">
        <v>0.06</v>
      </c>
      <c r="C30" s="8">
        <f aca="true" t="shared" si="5" ref="C30:H32">(C$33/C$28)^(0.2)*C29</f>
        <v>0.8284799290346426</v>
      </c>
      <c r="D30" s="8">
        <f t="shared" si="5"/>
        <v>0.33538308162936675</v>
      </c>
      <c r="E30" s="8">
        <f t="shared" si="5"/>
        <v>0.2156113139944474</v>
      </c>
      <c r="F30" s="8">
        <f t="shared" si="5"/>
        <v>0.06497909639754906</v>
      </c>
      <c r="G30" s="8">
        <v>0.0541</v>
      </c>
      <c r="H30" s="8">
        <f t="shared" si="5"/>
        <v>0.021719503670598335</v>
      </c>
      <c r="I30" s="9">
        <f>(I$33/I$28)^(0.2)*I29</f>
        <v>2.55</v>
      </c>
      <c r="J30" s="86">
        <v>330.41100000000006</v>
      </c>
      <c r="K30" s="87">
        <v>83.84200000000001</v>
      </c>
    </row>
    <row r="31" spans="1:11" ht="12.75">
      <c r="A31">
        <v>2028</v>
      </c>
      <c r="B31" s="5">
        <v>0.06</v>
      </c>
      <c r="C31" s="8">
        <f t="shared" si="5"/>
        <v>0.8286199290306454</v>
      </c>
      <c r="D31" s="8">
        <f t="shared" si="5"/>
        <v>0.33648648352317584</v>
      </c>
      <c r="E31" s="8">
        <f t="shared" si="5"/>
        <v>0.2197330915634918</v>
      </c>
      <c r="F31" s="8">
        <f t="shared" si="5"/>
        <v>0.06511909574906927</v>
      </c>
      <c r="G31" s="8">
        <v>0.0541</v>
      </c>
      <c r="H31" s="8">
        <f t="shared" si="5"/>
        <v>0.02177950321398706</v>
      </c>
      <c r="I31" s="9">
        <f>(I$33/I$28)^(0.2)*I30</f>
        <v>2.55</v>
      </c>
      <c r="J31" s="86">
        <v>330.41100000000006</v>
      </c>
      <c r="K31" s="87">
        <v>83.84200000000001</v>
      </c>
    </row>
    <row r="32" spans="1:11" ht="12.75">
      <c r="A32">
        <v>2029</v>
      </c>
      <c r="B32" s="5">
        <v>0.06</v>
      </c>
      <c r="C32" s="8">
        <f t="shared" si="5"/>
        <v>0.8287599526844318</v>
      </c>
      <c r="D32" s="8">
        <f t="shared" si="5"/>
        <v>0.3375935155814326</v>
      </c>
      <c r="E32" s="8">
        <f t="shared" si="5"/>
        <v>0.22393366393237268</v>
      </c>
      <c r="F32" s="8">
        <f t="shared" si="5"/>
        <v>0.06525939673326078</v>
      </c>
      <c r="G32" s="8">
        <v>0.0541</v>
      </c>
      <c r="H32" s="8">
        <f t="shared" si="5"/>
        <v>0.021839668504496965</v>
      </c>
      <c r="I32" s="9">
        <f>(I$33/I$28)^(0.2)*I31</f>
        <v>2.55</v>
      </c>
      <c r="J32" s="86">
        <v>330.41100000000006</v>
      </c>
      <c r="K32" s="87">
        <v>83.84200000000001</v>
      </c>
    </row>
    <row r="33" spans="1:11" ht="12.75">
      <c r="A33" s="2">
        <v>2030</v>
      </c>
      <c r="B33" s="5">
        <v>0.06</v>
      </c>
      <c r="C33" s="5">
        <f>KeyFactors!H8</f>
        <v>0.8289</v>
      </c>
      <c r="D33" s="8">
        <f>KeyFactors!H15</f>
        <v>0.33870418974728655</v>
      </c>
      <c r="E33" s="8">
        <f>KeyFactors!H20</f>
        <v>0.22821453739791886</v>
      </c>
      <c r="F33" s="8">
        <f>KeyFactors!H25</f>
        <v>0.0654</v>
      </c>
      <c r="G33" s="8">
        <v>0.0541</v>
      </c>
      <c r="H33" s="8">
        <f>KeyFactors!H35</f>
        <v>0.0219</v>
      </c>
      <c r="I33" s="9">
        <f>KeyFactors!H40</f>
        <v>2.55</v>
      </c>
      <c r="J33" s="86">
        <v>330.41100000000006</v>
      </c>
      <c r="K33" s="87">
        <v>83.84200000000001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K3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" sqref="F3"/>
    </sheetView>
  </sheetViews>
  <sheetFormatPr defaultColWidth="9.140625" defaultRowHeight="12.75"/>
  <cols>
    <col min="2" max="13" width="12.7109375" style="0" customWidth="1"/>
  </cols>
  <sheetData>
    <row r="2" spans="1:11" ht="38.25">
      <c r="A2" s="2" t="s">
        <v>114</v>
      </c>
      <c r="B2" s="77" t="s">
        <v>115</v>
      </c>
      <c r="C2" s="77" t="s">
        <v>3</v>
      </c>
      <c r="D2" s="77" t="s">
        <v>116</v>
      </c>
      <c r="E2" s="77" t="s">
        <v>117</v>
      </c>
      <c r="F2" s="77" t="s">
        <v>342</v>
      </c>
      <c r="G2" s="77" t="s">
        <v>118</v>
      </c>
      <c r="H2" s="77" t="s">
        <v>119</v>
      </c>
      <c r="I2" s="77" t="s">
        <v>120</v>
      </c>
      <c r="J2" s="77" t="s">
        <v>121</v>
      </c>
      <c r="K2" s="77" t="s">
        <v>122</v>
      </c>
    </row>
    <row r="3" spans="1:11" ht="12.75">
      <c r="A3" s="2">
        <v>2000</v>
      </c>
      <c r="B3" s="5">
        <v>0.06</v>
      </c>
      <c r="C3" s="8">
        <v>0.7847</v>
      </c>
      <c r="D3" s="8">
        <v>0.3305806883005621</v>
      </c>
      <c r="E3" s="8">
        <v>0.13048489008118738</v>
      </c>
      <c r="F3" s="8">
        <f>KeyFactors!B27</f>
        <v>0.0612</v>
      </c>
      <c r="G3" s="8">
        <v>0.06</v>
      </c>
      <c r="H3" s="8">
        <v>0.0201</v>
      </c>
      <c r="I3" s="9">
        <v>2.60768</v>
      </c>
      <c r="J3" s="82">
        <v>342.57599999999996</v>
      </c>
      <c r="K3" s="84">
        <v>79.25</v>
      </c>
    </row>
    <row r="4" spans="1:11" ht="12.75">
      <c r="A4">
        <v>2001</v>
      </c>
      <c r="B4" s="5">
        <v>0.06</v>
      </c>
      <c r="C4" s="8">
        <f>(C$8/C$3)^(0.2)*C3</f>
        <v>0.7831337601225882</v>
      </c>
      <c r="D4" s="8">
        <f>(D$8/D$3)^(0.2)*D3</f>
        <v>0.3284783703705315</v>
      </c>
      <c r="E4" s="8">
        <f>(E$8/E$3)^(0.2)*E3</f>
        <v>0.13011068907365722</v>
      </c>
      <c r="F4" s="8">
        <f>(F$8/F$3)^(0.2)*F3</f>
        <v>0.06160461441917832</v>
      </c>
      <c r="G4" s="8">
        <v>0.06</v>
      </c>
      <c r="H4" s="8">
        <v>0.0201</v>
      </c>
      <c r="I4" s="9">
        <v>2.607</v>
      </c>
      <c r="J4" s="82">
        <v>332.9819999999999</v>
      </c>
      <c r="K4" s="84">
        <v>79.25</v>
      </c>
    </row>
    <row r="5" spans="1:11" ht="12.75">
      <c r="A5">
        <v>2002</v>
      </c>
      <c r="B5" s="5">
        <v>0.06</v>
      </c>
      <c r="C5" s="8">
        <f aca="true" t="shared" si="0" ref="C5:F7">(C$8/C$3)^(0.2)*C4</f>
        <v>0.7815706464174125</v>
      </c>
      <c r="D5" s="8">
        <f t="shared" si="0"/>
        <v>0.3263894220680544</v>
      </c>
      <c r="E5" s="8">
        <f t="shared" si="0"/>
        <v>0.12973756118956647</v>
      </c>
      <c r="F5" s="8">
        <f t="shared" si="0"/>
        <v>0.06201190388456917</v>
      </c>
      <c r="G5" s="8">
        <v>0.06</v>
      </c>
      <c r="H5" s="8">
        <v>0.0201</v>
      </c>
      <c r="I5" s="9">
        <v>2.607</v>
      </c>
      <c r="J5" s="82">
        <v>333.423</v>
      </c>
      <c r="K5" s="84">
        <v>79.576</v>
      </c>
    </row>
    <row r="6" spans="1:11" ht="12.75">
      <c r="A6">
        <v>2003</v>
      </c>
      <c r="B6" s="5">
        <v>0.06</v>
      </c>
      <c r="C6" s="8">
        <f t="shared" si="0"/>
        <v>0.7800106526447179</v>
      </c>
      <c r="D6" s="8">
        <f t="shared" si="0"/>
        <v>0.3243137583693869</v>
      </c>
      <c r="E6" s="8">
        <f t="shared" si="0"/>
        <v>0.12936550335144104</v>
      </c>
      <c r="F6" s="8">
        <f t="shared" si="0"/>
        <v>0.06242188608183055</v>
      </c>
      <c r="G6" s="8">
        <v>0.06</v>
      </c>
      <c r="H6" s="8">
        <v>0.0201</v>
      </c>
      <c r="I6" s="9">
        <v>2.607</v>
      </c>
      <c r="J6" s="82">
        <v>333.653</v>
      </c>
      <c r="K6" s="84">
        <v>79.92100000000002</v>
      </c>
    </row>
    <row r="7" spans="1:11" ht="12.75">
      <c r="A7">
        <v>2004</v>
      </c>
      <c r="B7" s="5">
        <v>0.06</v>
      </c>
      <c r="C7" s="8">
        <f t="shared" si="0"/>
        <v>0.778453772577204</v>
      </c>
      <c r="D7" s="8">
        <f t="shared" si="0"/>
        <v>0.32225129479149134</v>
      </c>
      <c r="E7" s="8">
        <f t="shared" si="0"/>
        <v>0.12899451249063226</v>
      </c>
      <c r="F7" s="8">
        <f t="shared" si="0"/>
        <v>0.06283457881354648</v>
      </c>
      <c r="G7" s="8">
        <v>0.06</v>
      </c>
      <c r="H7" s="8">
        <v>0.0201</v>
      </c>
      <c r="I7" s="9">
        <v>2.607</v>
      </c>
      <c r="J7" s="82">
        <v>333.595</v>
      </c>
      <c r="K7" s="84">
        <v>80.24900000000001</v>
      </c>
    </row>
    <row r="8" spans="1:11" s="81" customFormat="1" ht="12.75">
      <c r="A8" s="78">
        <v>2005</v>
      </c>
      <c r="B8" s="79">
        <v>0.06</v>
      </c>
      <c r="C8" s="79">
        <f>KeyFactors!C10</f>
        <v>0.7769</v>
      </c>
      <c r="D8" s="79">
        <f>KeyFactors!C17</f>
        <v>0.3202019473885973</v>
      </c>
      <c r="E8" s="80">
        <f>KeyFactors!C22</f>
        <v>0.12862458554729173</v>
      </c>
      <c r="F8" s="80">
        <f>KeyFactors!C27</f>
        <v>0.06325</v>
      </c>
      <c r="G8" s="8">
        <v>0.06</v>
      </c>
      <c r="H8" s="80">
        <f>KeyFactors!C37</f>
        <v>0.0201</v>
      </c>
      <c r="I8" s="107">
        <f>KeyFactors!C42</f>
        <v>2.63</v>
      </c>
      <c r="J8" s="83">
        <v>333.311</v>
      </c>
      <c r="K8" s="85">
        <v>80.575</v>
      </c>
    </row>
    <row r="9" spans="1:11" ht="12.75">
      <c r="A9">
        <v>2006</v>
      </c>
      <c r="B9" s="5">
        <v>0.06</v>
      </c>
      <c r="C9" s="8">
        <f>(C$13/C$8)^(0.2)*C8</f>
        <v>0.7793050630387401</v>
      </c>
      <c r="D9" s="8">
        <f>(D$13/D$8)^(0.2)*D8</f>
        <v>0.3191415207202758</v>
      </c>
      <c r="E9" s="8">
        <f>(E$13/E$8)^(0.2)*E8</f>
        <v>0.1297373276218078</v>
      </c>
      <c r="F9" s="8">
        <f>(F$13/F$8)^(0.2)*F8</f>
        <v>0.06365478566308906</v>
      </c>
      <c r="G9" s="8">
        <v>0.06</v>
      </c>
      <c r="H9" s="8">
        <f>(H$13/H$8)^(0.2)*H8</f>
        <v>0.020059839838877713</v>
      </c>
      <c r="I9" s="9">
        <f>(I$13/I$8)^(0.2)*I8</f>
        <v>2.63</v>
      </c>
      <c r="J9" s="82">
        <v>333.08099999999996</v>
      </c>
      <c r="K9" s="84">
        <v>80.88800000000002</v>
      </c>
    </row>
    <row r="10" spans="1:11" ht="12.75">
      <c r="A10">
        <v>2007</v>
      </c>
      <c r="B10" s="5">
        <v>0.06</v>
      </c>
      <c r="C10" s="8">
        <f aca="true" t="shared" si="1" ref="C10:H12">(C$13/C$8)^(0.2)*C9</f>
        <v>0.7817175714735677</v>
      </c>
      <c r="D10" s="8">
        <f t="shared" si="1"/>
        <v>0.31808460591291593</v>
      </c>
      <c r="E10" s="8">
        <f t="shared" si="1"/>
        <v>0.130859696121312</v>
      </c>
      <c r="F10" s="8">
        <f t="shared" si="1"/>
        <v>0.06406216186266891</v>
      </c>
      <c r="G10" s="8">
        <v>0.06</v>
      </c>
      <c r="H10" s="8">
        <f t="shared" si="1"/>
        <v>0.020019759918478878</v>
      </c>
      <c r="I10" s="9">
        <f>(I$13/I$8)^(0.2)*I9</f>
        <v>2.63</v>
      </c>
      <c r="J10" s="82">
        <v>332.88699999999994</v>
      </c>
      <c r="K10" s="84">
        <v>81.185</v>
      </c>
    </row>
    <row r="11" spans="1:11" ht="12.75">
      <c r="A11">
        <v>2008</v>
      </c>
      <c r="B11" s="5">
        <v>0.06</v>
      </c>
      <c r="C11" s="8">
        <f t="shared" si="1"/>
        <v>0.7841375483533267</v>
      </c>
      <c r="D11" s="8">
        <f t="shared" si="1"/>
        <v>0.3170311913361356</v>
      </c>
      <c r="E11" s="8">
        <f t="shared" si="1"/>
        <v>0.13199177432481407</v>
      </c>
      <c r="F11" s="8">
        <f t="shared" si="1"/>
        <v>0.0644721451775859</v>
      </c>
      <c r="G11" s="8">
        <v>0.06</v>
      </c>
      <c r="H11" s="8">
        <f t="shared" si="1"/>
        <v>0.019979760078481085</v>
      </c>
      <c r="I11" s="9">
        <f>(I$13/I$8)^(0.2)*I10</f>
        <v>2.63</v>
      </c>
      <c r="J11" s="82">
        <v>332.715</v>
      </c>
      <c r="K11" s="84">
        <v>81.46900000000002</v>
      </c>
    </row>
    <row r="12" spans="1:11" ht="12.75">
      <c r="A12">
        <v>2009</v>
      </c>
      <c r="B12" s="5">
        <v>0.06</v>
      </c>
      <c r="C12" s="8">
        <f t="shared" si="1"/>
        <v>0.7865650167982139</v>
      </c>
      <c r="D12" s="8">
        <f t="shared" si="1"/>
        <v>0.3159812653980695</v>
      </c>
      <c r="E12" s="8">
        <f t="shared" si="1"/>
        <v>0.1331336462317774</v>
      </c>
      <c r="F12" s="8">
        <f t="shared" si="1"/>
        <v>0.06488475229278722</v>
      </c>
      <c r="G12" s="8">
        <v>0.06</v>
      </c>
      <c r="H12" s="8">
        <f t="shared" si="1"/>
        <v>0.01993984015888226</v>
      </c>
      <c r="I12" s="9">
        <f>(I$13/I$8)^(0.2)*I11</f>
        <v>2.63</v>
      </c>
      <c r="J12" s="82">
        <v>332.56</v>
      </c>
      <c r="K12" s="84">
        <v>81.73600000000002</v>
      </c>
    </row>
    <row r="13" spans="1:11" s="81" customFormat="1" ht="12.75">
      <c r="A13" s="78">
        <v>2010</v>
      </c>
      <c r="B13" s="79">
        <v>0.06</v>
      </c>
      <c r="C13" s="79">
        <f>KeyFactors!D10</f>
        <v>0.789</v>
      </c>
      <c r="D13" s="79">
        <f>KeyFactors!D17</f>
        <v>0.31493481654524136</v>
      </c>
      <c r="E13" s="80">
        <f>KeyFactors!D22</f>
        <v>0.13428539656835184</v>
      </c>
      <c r="F13" s="80">
        <f>KeyFactors!D27</f>
        <v>0.0653</v>
      </c>
      <c r="G13" s="8">
        <v>0.06</v>
      </c>
      <c r="H13" s="80">
        <f>KeyFactors!D37</f>
        <v>0.0199</v>
      </c>
      <c r="I13" s="107">
        <f>KeyFactors!D42</f>
        <v>2.63</v>
      </c>
      <c r="J13" s="83">
        <v>332.41400000000004</v>
      </c>
      <c r="K13" s="85">
        <v>81.988</v>
      </c>
    </row>
    <row r="14" spans="1:11" ht="12.75">
      <c r="A14">
        <v>2011</v>
      </c>
      <c r="B14" s="5">
        <v>0.06</v>
      </c>
      <c r="C14" s="8">
        <f>(C$18/C$13)^(0.2)*C13</f>
        <v>0.789698761217101</v>
      </c>
      <c r="D14" s="8">
        <f>(D$18/D$13)^(0.2)*D13</f>
        <v>0.3176966411231194</v>
      </c>
      <c r="E14" s="8">
        <f>(E$18/E$13)^(0.2)*E13</f>
        <v>0.13762376923280825</v>
      </c>
      <c r="F14" s="8">
        <f>(F$18/F$13)^(0.2)*F13</f>
        <v>0.06570494635199331</v>
      </c>
      <c r="G14" s="8">
        <v>0.06</v>
      </c>
      <c r="H14" s="8">
        <f>(H$18/H$13)^(0.2)*H13</f>
        <v>0.019839634883374185</v>
      </c>
      <c r="I14" s="9">
        <f>(I$18/I$13)^(0.2)*I13</f>
        <v>2.633987887921993</v>
      </c>
      <c r="J14" s="82">
        <v>332.2739999999999</v>
      </c>
      <c r="K14" s="84">
        <v>82.22600000000001</v>
      </c>
    </row>
    <row r="15" spans="1:11" ht="12.75">
      <c r="A15">
        <v>2012</v>
      </c>
      <c r="B15" s="5">
        <v>0.06</v>
      </c>
      <c r="C15" s="8">
        <f aca="true" t="shared" si="2" ref="C15:H17">(C$18/C$13)^(0.2)*C14</f>
        <v>0.7903981412773434</v>
      </c>
      <c r="D15" s="8">
        <f t="shared" si="2"/>
        <v>0.320482685554117</v>
      </c>
      <c r="E15" s="8">
        <f t="shared" si="2"/>
        <v>0.141045134779079</v>
      </c>
      <c r="F15" s="8">
        <f t="shared" si="2"/>
        <v>0.06611240390686553</v>
      </c>
      <c r="G15" s="8">
        <v>0.06</v>
      </c>
      <c r="H15" s="8">
        <f t="shared" si="2"/>
        <v>0.01977945287967828</v>
      </c>
      <c r="I15" s="9">
        <f>(I$18/I$13)^(0.2)*I14</f>
        <v>2.637981822707134</v>
      </c>
      <c r="J15" s="82">
        <v>332.14</v>
      </c>
      <c r="K15" s="84">
        <v>82.446</v>
      </c>
    </row>
    <row r="16" spans="1:11" ht="12.75">
      <c r="A16">
        <v>2013</v>
      </c>
      <c r="B16" s="5">
        <v>0.06</v>
      </c>
      <c r="C16" s="8">
        <f t="shared" si="2"/>
        <v>0.7910981407287925</v>
      </c>
      <c r="D16" s="8">
        <f t="shared" si="2"/>
        <v>0.32329316223452104</v>
      </c>
      <c r="E16" s="8">
        <f t="shared" si="2"/>
        <v>0.14455155643350945</v>
      </c>
      <c r="F16" s="8">
        <f t="shared" si="2"/>
        <v>0.06652238823739529</v>
      </c>
      <c r="G16" s="8">
        <v>0.06</v>
      </c>
      <c r="H16" s="8">
        <f t="shared" si="2"/>
        <v>0.019719453433453327</v>
      </c>
      <c r="I16" s="9">
        <f>(I$18/I$13)^(0.2)*I15</f>
        <v>2.6419818135243247</v>
      </c>
      <c r="J16" s="82">
        <v>332.008</v>
      </c>
      <c r="K16" s="84">
        <v>82.652</v>
      </c>
    </row>
    <row r="17" spans="1:11" ht="12.75">
      <c r="A17">
        <v>2014</v>
      </c>
      <c r="B17" s="5">
        <v>0.06</v>
      </c>
      <c r="C17" s="8">
        <f t="shared" si="2"/>
        <v>0.7917987601199991</v>
      </c>
      <c r="D17" s="8">
        <f t="shared" si="2"/>
        <v>0.32612828542322997</v>
      </c>
      <c r="E17" s="8">
        <f t="shared" si="2"/>
        <v>0.14814514871483117</v>
      </c>
      <c r="F17" s="8">
        <f t="shared" si="2"/>
        <v>0.06693491501293304</v>
      </c>
      <c r="G17" s="8">
        <v>0.06</v>
      </c>
      <c r="H17" s="8">
        <f t="shared" si="2"/>
        <v>0.0196596359909253</v>
      </c>
      <c r="I17" s="9">
        <f>(I$18/I$13)^(0.2)*I16</f>
        <v>2.64598786955637</v>
      </c>
      <c r="J17" s="82">
        <v>331.87599999999986</v>
      </c>
      <c r="K17" s="84">
        <v>82.839</v>
      </c>
    </row>
    <row r="18" spans="1:11" s="81" customFormat="1" ht="12.75">
      <c r="A18" s="78">
        <v>2015</v>
      </c>
      <c r="B18" s="79">
        <v>0.06</v>
      </c>
      <c r="C18" s="79">
        <f>KeyFactors!E10</f>
        <v>0.7925</v>
      </c>
      <c r="D18" s="79">
        <f>KeyFactors!E17</f>
        <v>0.3289882712580884</v>
      </c>
      <c r="E18" s="80">
        <f>KeyFactors!E22</f>
        <v>0.1518280787093052</v>
      </c>
      <c r="F18" s="80">
        <f>KeyFactors!E27</f>
        <v>0.06735</v>
      </c>
      <c r="G18" s="8">
        <v>0.06</v>
      </c>
      <c r="H18" s="80">
        <f>KeyFactors!E37</f>
        <v>0.0196</v>
      </c>
      <c r="I18" s="107">
        <f>KeyFactors!E42</f>
        <v>2.65</v>
      </c>
      <c r="J18" s="83">
        <v>331.74300000000005</v>
      </c>
      <c r="K18" s="85">
        <v>83.01400000000001</v>
      </c>
    </row>
    <row r="19" spans="1:11" ht="12.75">
      <c r="A19">
        <v>2016</v>
      </c>
      <c r="B19" s="5">
        <v>0.06</v>
      </c>
      <c r="C19" s="8">
        <f>(C$23/C$18)^(0.2)*C18</f>
        <v>0.7914773642009426</v>
      </c>
      <c r="D19" s="8">
        <f>(D$23/D$18)^(0.2)*D18</f>
        <v>0.3329433778233042</v>
      </c>
      <c r="E19" s="8">
        <f>(E$23/E$18)^(0.2)*E18</f>
        <v>0.15600534790959428</v>
      </c>
      <c r="F19" s="8">
        <f>(F$23/F$18)^(0.2)*F18</f>
        <v>0.06775509743263902</v>
      </c>
      <c r="G19" s="8">
        <v>0.06</v>
      </c>
      <c r="H19" s="8">
        <f>(H$23/H$18)^(0.2)*H18</f>
        <v>0.019498963688922778</v>
      </c>
      <c r="I19" s="9">
        <f>(I$23/I$18)^(0.2)*I18</f>
        <v>2.65</v>
      </c>
      <c r="J19" s="82">
        <v>331.61</v>
      </c>
      <c r="K19" s="84">
        <v>83.17</v>
      </c>
    </row>
    <row r="20" spans="1:11" ht="12.75">
      <c r="A20">
        <v>2017</v>
      </c>
      <c r="B20" s="5">
        <v>0.06</v>
      </c>
      <c r="C20" s="8">
        <f aca="true" t="shared" si="3" ref="C20:H22">(C$23/C$18)^(0.2)*C19</f>
        <v>0.7904560480031186</v>
      </c>
      <c r="D20" s="8">
        <f t="shared" si="3"/>
        <v>0.3369460327946756</v>
      </c>
      <c r="E20" s="8">
        <f t="shared" si="3"/>
        <v>0.1602975469576429</v>
      </c>
      <c r="F20" s="8">
        <f t="shared" si="3"/>
        <v>0.0681626314492414</v>
      </c>
      <c r="G20" s="8">
        <v>0.06</v>
      </c>
      <c r="H20" s="8">
        <f t="shared" si="3"/>
        <v>0.019398448211322906</v>
      </c>
      <c r="I20" s="9">
        <f>(I$23/I$18)^(0.2)*I19</f>
        <v>2.65</v>
      </c>
      <c r="J20" s="82">
        <v>331.478</v>
      </c>
      <c r="K20" s="84">
        <v>83.30899999999998</v>
      </c>
    </row>
    <row r="21" spans="1:11" ht="12.75">
      <c r="A21">
        <v>2018</v>
      </c>
      <c r="B21" s="5">
        <v>0.06</v>
      </c>
      <c r="C21" s="8">
        <f t="shared" si="3"/>
        <v>0.789436049703725</v>
      </c>
      <c r="D21" s="8">
        <f t="shared" si="3"/>
        <v>0.3409968078005243</v>
      </c>
      <c r="E21" s="8">
        <f t="shared" si="3"/>
        <v>0.16470783793596783</v>
      </c>
      <c r="F21" s="8">
        <f t="shared" si="3"/>
        <v>0.06857261670539594</v>
      </c>
      <c r="G21" s="8">
        <v>0.06</v>
      </c>
      <c r="H21" s="8">
        <f t="shared" si="3"/>
        <v>0.019298450882348692</v>
      </c>
      <c r="I21" s="9">
        <f>(I$23/I$18)^(0.2)*I20</f>
        <v>2.65</v>
      </c>
      <c r="J21" s="82">
        <v>331.345000000001</v>
      </c>
      <c r="K21" s="84">
        <v>83.43299999999999</v>
      </c>
    </row>
    <row r="22" spans="1:11" ht="12.75">
      <c r="A22">
        <v>2019</v>
      </c>
      <c r="B22" s="5">
        <v>0.06</v>
      </c>
      <c r="C22" s="8">
        <f t="shared" si="3"/>
        <v>0.788417367602156</v>
      </c>
      <c r="D22" s="8">
        <f t="shared" si="3"/>
        <v>0.3450962813413043</v>
      </c>
      <c r="E22" s="8">
        <f t="shared" si="3"/>
        <v>0.16923946992594674</v>
      </c>
      <c r="F22" s="8">
        <f t="shared" si="3"/>
        <v>0.06898506794484206</v>
      </c>
      <c r="G22" s="8">
        <v>0.06</v>
      </c>
      <c r="H22" s="8">
        <f t="shared" si="3"/>
        <v>0.019198969030988618</v>
      </c>
      <c r="I22" s="9">
        <f>(I$23/I$18)^(0.2)*I21</f>
        <v>2.65</v>
      </c>
      <c r="J22" s="82">
        <v>331.21</v>
      </c>
      <c r="K22" s="84">
        <v>83.541</v>
      </c>
    </row>
    <row r="23" spans="1:11" s="81" customFormat="1" ht="12.75">
      <c r="A23" s="78">
        <v>2020</v>
      </c>
      <c r="B23" s="79">
        <v>0.06</v>
      </c>
      <c r="C23" s="79">
        <f>KeyFactors!F10</f>
        <v>0.7874</v>
      </c>
      <c r="D23" s="80">
        <f>KeyFactors!F17</f>
        <v>0.34924503887221897</v>
      </c>
      <c r="E23" s="80">
        <f>KeyFactors!F22</f>
        <v>0.1738957814014313</v>
      </c>
      <c r="F23" s="80">
        <f>KeyFactors!F27</f>
        <v>0.0694</v>
      </c>
      <c r="G23" s="8">
        <v>0.06</v>
      </c>
      <c r="H23" s="80">
        <f>KeyFactors!F37</f>
        <v>0.0191</v>
      </c>
      <c r="I23" s="107">
        <f>KeyFactors!F42</f>
        <v>2.65</v>
      </c>
      <c r="J23" s="83">
        <v>331.077</v>
      </c>
      <c r="K23" s="85">
        <v>83.63400000000001</v>
      </c>
    </row>
    <row r="24" spans="1:11" ht="12.75">
      <c r="A24">
        <v>2021</v>
      </c>
      <c r="B24" s="5">
        <v>0.06</v>
      </c>
      <c r="C24" s="8">
        <f>(C$28/C$23)^(0.2)*C23</f>
        <v>0.7875599350154806</v>
      </c>
      <c r="D24" s="8">
        <f>(D$28/D$23)^(0.2)*D23</f>
        <v>0.3530216393244871</v>
      </c>
      <c r="E24" s="8">
        <f>(E$28/E$23)^(0.2)*E23</f>
        <v>0.17846061060373786</v>
      </c>
      <c r="F24" s="8">
        <f>(F$28/F$23)^(0.2)*F23</f>
        <v>0.06980523974182895</v>
      </c>
      <c r="G24" s="8">
        <v>0.06</v>
      </c>
      <c r="H24" s="8">
        <f>(H$28/H$23)^(0.2)*H23</f>
        <v>0.018998936125155803</v>
      </c>
      <c r="I24" s="9">
        <f>(I$28/I$23)^(0.2)*I23</f>
        <v>2.65</v>
      </c>
      <c r="J24" s="82">
        <v>330.94300000000004</v>
      </c>
      <c r="K24" s="84">
        <v>83.709</v>
      </c>
    </row>
    <row r="25" spans="1:11" ht="12.75">
      <c r="A25">
        <v>2022</v>
      </c>
      <c r="B25" s="5">
        <v>0.06</v>
      </c>
      <c r="C25" s="8">
        <f aca="true" t="shared" si="4" ref="C25:H27">(C$28/C$23)^(0.2)*C24</f>
        <v>0.7877199025166218</v>
      </c>
      <c r="D25" s="8">
        <f t="shared" si="4"/>
        <v>0.35683907846990354</v>
      </c>
      <c r="E25" s="8">
        <f t="shared" si="4"/>
        <v>0.18314526827731784</v>
      </c>
      <c r="F25" s="8">
        <f t="shared" si="4"/>
        <v>0.07021284575524807</v>
      </c>
      <c r="G25" s="8">
        <v>0.06</v>
      </c>
      <c r="H25" s="8">
        <f t="shared" si="4"/>
        <v>0.018898407009829858</v>
      </c>
      <c r="I25" s="9">
        <f>(I$28/I$23)^(0.2)*I24</f>
        <v>2.65</v>
      </c>
      <c r="J25" s="82">
        <v>330.81</v>
      </c>
      <c r="K25" s="84">
        <v>83.76800000000001</v>
      </c>
    </row>
    <row r="26" spans="1:11" ht="12.75">
      <c r="A26">
        <v>2023</v>
      </c>
      <c r="B26" s="5">
        <v>0.06</v>
      </c>
      <c r="C26" s="8">
        <f t="shared" si="4"/>
        <v>0.787879902510022</v>
      </c>
      <c r="D26" s="8">
        <f t="shared" si="4"/>
        <v>0.3606977979222633</v>
      </c>
      <c r="E26" s="8">
        <f t="shared" si="4"/>
        <v>0.18795289996429151</v>
      </c>
      <c r="F26" s="8">
        <f t="shared" si="4"/>
        <v>0.07062283185736525</v>
      </c>
      <c r="G26" s="8">
        <v>0.06</v>
      </c>
      <c r="H26" s="8">
        <f t="shared" si="4"/>
        <v>0.018798409824447863</v>
      </c>
      <c r="I26" s="9">
        <f>(I$28/I$23)^(0.2)*I25</f>
        <v>2.65</v>
      </c>
      <c r="J26" s="82">
        <v>330.676</v>
      </c>
      <c r="K26" s="84">
        <v>83.811</v>
      </c>
    </row>
    <row r="27" spans="1:11" ht="12.75">
      <c r="A27">
        <v>2024</v>
      </c>
      <c r="B27" s="5">
        <v>0.06</v>
      </c>
      <c r="C27" s="8">
        <f t="shared" si="4"/>
        <v>0.7880399350022811</v>
      </c>
      <c r="D27" s="8">
        <f t="shared" si="4"/>
        <v>0.3645982440708018</v>
      </c>
      <c r="E27" s="8">
        <f t="shared" si="4"/>
        <v>0.19288673377843452</v>
      </c>
      <c r="F27" s="8">
        <f t="shared" si="4"/>
        <v>0.0710352119459691</v>
      </c>
      <c r="G27" s="8">
        <v>0.06</v>
      </c>
      <c r="H27" s="8">
        <f t="shared" si="4"/>
        <v>0.01869894175440766</v>
      </c>
      <c r="I27" s="9">
        <f>(I$28/I$23)^(0.2)*I26</f>
        <v>2.65</v>
      </c>
      <c r="J27" s="82">
        <v>330.54200000000003</v>
      </c>
      <c r="K27" s="84">
        <v>83.83600000000001</v>
      </c>
    </row>
    <row r="28" spans="1:11" s="81" customFormat="1" ht="12.75">
      <c r="A28" s="78">
        <v>2025</v>
      </c>
      <c r="B28" s="79">
        <v>0.06</v>
      </c>
      <c r="C28" s="79">
        <f>KeyFactors!G10</f>
        <v>0.7882</v>
      </c>
      <c r="D28" s="80">
        <f>KeyFactors!G17</f>
        <v>0.36854086813183445</v>
      </c>
      <c r="E28" s="80">
        <f>KeyFactors!G22</f>
        <v>0.19795008257271454</v>
      </c>
      <c r="F28" s="80">
        <f>KeyFactors!G27</f>
        <v>0.07145000000000001</v>
      </c>
      <c r="G28" s="8">
        <v>0.06</v>
      </c>
      <c r="H28" s="80">
        <f>KeyFactors!G37</f>
        <v>0.0186</v>
      </c>
      <c r="I28" s="107">
        <f>KeyFactors!G42</f>
        <v>2.65</v>
      </c>
      <c r="J28" s="83">
        <v>330.41100000000006</v>
      </c>
      <c r="K28" s="85">
        <v>83.84200000000001</v>
      </c>
    </row>
    <row r="29" spans="1:11" ht="12.75">
      <c r="A29">
        <v>2026</v>
      </c>
      <c r="B29" s="5">
        <v>0.06</v>
      </c>
      <c r="C29" s="8">
        <f>(C$33/C$28)^(0.2)*C28</f>
        <v>0.7883399502929144</v>
      </c>
      <c r="D29" s="8">
        <f>(D$33/D$28)^(0.2)*D28</f>
        <v>0.37092780801323255</v>
      </c>
      <c r="E29" s="8">
        <f>(E$33/E$28)^(0.2)*E28</f>
        <v>0.20091858599657583</v>
      </c>
      <c r="F29" s="8">
        <f>(F$33/F$28)^(0.2)*F28</f>
        <v>0.07185537402193073</v>
      </c>
      <c r="G29" s="8">
        <v>0.06</v>
      </c>
      <c r="H29" s="8">
        <f>(H$33/H$28)^(0.2)*H28</f>
        <v>0.018539609114308107</v>
      </c>
      <c r="I29" s="9">
        <f>(I$33/I$28)^(0.2)*I28</f>
        <v>2.65</v>
      </c>
      <c r="J29" s="86">
        <v>330.41100000000006</v>
      </c>
      <c r="K29" s="87">
        <v>83.84200000000001</v>
      </c>
    </row>
    <row r="30" spans="1:11" ht="12.75">
      <c r="A30">
        <v>2027</v>
      </c>
      <c r="B30" s="5">
        <v>0.06</v>
      </c>
      <c r="C30" s="8">
        <f aca="true" t="shared" si="5" ref="C30:H32">(C$33/C$28)^(0.2)*C29</f>
        <v>0.788479925434959</v>
      </c>
      <c r="D30" s="8">
        <f t="shared" si="5"/>
        <v>0.3733302074609639</v>
      </c>
      <c r="E30" s="8">
        <f t="shared" si="5"/>
        <v>0.2039316057573992</v>
      </c>
      <c r="F30" s="8">
        <f t="shared" si="5"/>
        <v>0.07226304794725762</v>
      </c>
      <c r="G30" s="8">
        <v>0.06</v>
      </c>
      <c r="H30" s="8">
        <f t="shared" si="5"/>
        <v>0.018479414307061088</v>
      </c>
      <c r="I30" s="9">
        <f>(I$33/I$28)^(0.2)*I29</f>
        <v>2.65</v>
      </c>
      <c r="J30" s="86">
        <v>330.41100000000006</v>
      </c>
      <c r="K30" s="87">
        <v>83.84200000000001</v>
      </c>
    </row>
    <row r="31" spans="1:11" ht="12.75">
      <c r="A31">
        <v>2028</v>
      </c>
      <c r="B31" s="5">
        <v>0.06</v>
      </c>
      <c r="C31" s="8">
        <f t="shared" si="5"/>
        <v>0.7886199254305462</v>
      </c>
      <c r="D31" s="8">
        <f t="shared" si="5"/>
        <v>0.37574816660247334</v>
      </c>
      <c r="E31" s="8">
        <f t="shared" si="5"/>
        <v>0.20698980943206546</v>
      </c>
      <c r="F31" s="8">
        <f t="shared" si="5"/>
        <v>0.07267303482456135</v>
      </c>
      <c r="G31" s="8">
        <v>0.06</v>
      </c>
      <c r="H31" s="8">
        <f t="shared" si="5"/>
        <v>0.01841941494162717</v>
      </c>
      <c r="I31" s="9">
        <f>(I$33/I$28)^(0.2)*I30</f>
        <v>2.65</v>
      </c>
      <c r="J31" s="86">
        <v>330.41100000000006</v>
      </c>
      <c r="K31" s="87">
        <v>83.84200000000001</v>
      </c>
    </row>
    <row r="32" spans="1:11" ht="12.75">
      <c r="A32">
        <v>2029</v>
      </c>
      <c r="B32" s="5">
        <v>0.06</v>
      </c>
      <c r="C32" s="8">
        <f t="shared" si="5"/>
        <v>0.7887599502840885</v>
      </c>
      <c r="D32" s="8">
        <f t="shared" si="5"/>
        <v>0.37818178621370413</v>
      </c>
      <c r="E32" s="8">
        <f t="shared" si="5"/>
        <v>0.21009387460858678</v>
      </c>
      <c r="F32" s="8">
        <f t="shared" si="5"/>
        <v>0.07308534777645419</v>
      </c>
      <c r="G32" s="8">
        <v>0.06</v>
      </c>
      <c r="H32" s="8">
        <f t="shared" si="5"/>
        <v>0.018359610383441617</v>
      </c>
      <c r="I32" s="9">
        <f>(I$33/I$28)^(0.2)*I31</f>
        <v>2.65</v>
      </c>
      <c r="J32" s="86">
        <v>330.41100000000006</v>
      </c>
      <c r="K32" s="87">
        <v>83.84200000000001</v>
      </c>
    </row>
    <row r="33" spans="1:11" ht="12.75">
      <c r="A33" s="2">
        <v>2030</v>
      </c>
      <c r="B33" s="5">
        <v>0.06</v>
      </c>
      <c r="C33" s="5">
        <f>KeyFactors!H10</f>
        <v>0.7888999999999999</v>
      </c>
      <c r="D33" s="8">
        <f>KeyFactors!H17</f>
        <v>0.38063116772329825</v>
      </c>
      <c r="E33" s="8">
        <f>KeyFactors!H22</f>
        <v>0.2132444890362357</v>
      </c>
      <c r="F33" s="8">
        <f>KeyFactors!H27</f>
        <v>0.07350000000000001</v>
      </c>
      <c r="G33" s="8">
        <v>0.06</v>
      </c>
      <c r="H33" s="8">
        <f>KeyFactors!H37</f>
        <v>0.0183</v>
      </c>
      <c r="I33" s="9">
        <f>KeyFactors!H42</f>
        <v>2.65</v>
      </c>
      <c r="J33" s="86">
        <v>330.41100000000006</v>
      </c>
      <c r="K33" s="87">
        <v>83.84200000000001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42"/>
  <sheetViews>
    <sheetView workbookViewId="0" topLeftCell="A8">
      <selection activeCell="A1" sqref="A1"/>
    </sheetView>
  </sheetViews>
  <sheetFormatPr defaultColWidth="9.140625" defaultRowHeight="12.75"/>
  <cols>
    <col min="1" max="1" width="33.00390625" style="0" customWidth="1"/>
    <col min="8" max="8" width="2.421875" style="0" customWidth="1"/>
    <col min="9" max="9" width="9.140625" style="2" customWidth="1"/>
  </cols>
  <sheetData>
    <row r="1" ht="12.75">
      <c r="A1" s="2" t="s">
        <v>17</v>
      </c>
    </row>
    <row r="4" spans="1:9" ht="14.25">
      <c r="A4" s="2" t="s">
        <v>18</v>
      </c>
      <c r="B4" s="10" t="s">
        <v>19</v>
      </c>
      <c r="I4" s="2" t="s">
        <v>20</v>
      </c>
    </row>
    <row r="5" spans="2:5" ht="12.75">
      <c r="B5" s="11" t="s">
        <v>21</v>
      </c>
      <c r="C5" s="12" t="s">
        <v>22</v>
      </c>
      <c r="D5" s="11"/>
      <c r="E5" s="13" t="s">
        <v>23</v>
      </c>
    </row>
    <row r="6" spans="2:5" ht="12.75">
      <c r="B6" s="11"/>
      <c r="C6" s="12"/>
      <c r="D6" s="11"/>
      <c r="E6" s="13"/>
    </row>
    <row r="7" spans="1:9" ht="14.25">
      <c r="A7" s="2" t="s">
        <v>18</v>
      </c>
      <c r="B7" s="10" t="s">
        <v>188</v>
      </c>
      <c r="I7" s="2" t="s">
        <v>191</v>
      </c>
    </row>
    <row r="8" spans="1:5" ht="12.75">
      <c r="A8" s="98" t="s">
        <v>192</v>
      </c>
      <c r="B8" s="12" t="s">
        <v>189</v>
      </c>
      <c r="C8" s="12" t="s">
        <v>190</v>
      </c>
      <c r="D8" s="11"/>
      <c r="E8" s="13"/>
    </row>
    <row r="10" spans="1:9" ht="14.25">
      <c r="A10" s="2" t="s">
        <v>24</v>
      </c>
      <c r="B10" s="14" t="s">
        <v>25</v>
      </c>
      <c r="I10" s="2" t="s">
        <v>26</v>
      </c>
    </row>
    <row r="11" spans="2:5" ht="12.75">
      <c r="B11" s="15" t="s">
        <v>27</v>
      </c>
      <c r="C11" s="16" t="s">
        <v>28</v>
      </c>
      <c r="D11" s="15"/>
      <c r="E11" s="16" t="s">
        <v>29</v>
      </c>
    </row>
    <row r="13" spans="1:9" ht="14.25">
      <c r="A13" s="2" t="s">
        <v>30</v>
      </c>
      <c r="B13" s="14" t="s">
        <v>31</v>
      </c>
      <c r="I13" s="2" t="s">
        <v>32</v>
      </c>
    </row>
    <row r="14" spans="2:5" ht="12.75">
      <c r="B14" s="12" t="s">
        <v>33</v>
      </c>
      <c r="C14" s="12" t="s">
        <v>34</v>
      </c>
      <c r="D14" s="11"/>
      <c r="E14" s="12" t="s">
        <v>35</v>
      </c>
    </row>
    <row r="16" spans="1:9" ht="14.25">
      <c r="A16" s="2" t="s">
        <v>36</v>
      </c>
      <c r="B16" s="14" t="s">
        <v>37</v>
      </c>
      <c r="I16" s="2" t="s">
        <v>38</v>
      </c>
    </row>
    <row r="17" spans="2:3" ht="12.75">
      <c r="B17" s="12" t="s">
        <v>39</v>
      </c>
      <c r="C17" s="12" t="s">
        <v>40</v>
      </c>
    </row>
    <row r="19" spans="1:9" ht="14.25">
      <c r="A19" s="2" t="s">
        <v>41</v>
      </c>
      <c r="B19" s="14" t="s">
        <v>42</v>
      </c>
      <c r="I19" s="2" t="s">
        <v>43</v>
      </c>
    </row>
    <row r="20" spans="2:5" ht="12.75">
      <c r="B20" s="17" t="s">
        <v>44</v>
      </c>
      <c r="C20" s="17" t="s">
        <v>45</v>
      </c>
      <c r="D20" s="11"/>
      <c r="E20" s="17" t="s">
        <v>46</v>
      </c>
    </row>
    <row r="21" spans="2:5" ht="12.75">
      <c r="B21" s="18"/>
      <c r="C21" s="19"/>
      <c r="D21" s="18"/>
      <c r="E21" s="20"/>
    </row>
    <row r="22" spans="1:9" ht="15.75">
      <c r="A22" s="2" t="s">
        <v>47</v>
      </c>
      <c r="B22" s="10" t="s">
        <v>48</v>
      </c>
      <c r="C22" s="19"/>
      <c r="D22" s="18"/>
      <c r="E22" s="20"/>
      <c r="I22" s="2" t="s">
        <v>49</v>
      </c>
    </row>
    <row r="23" spans="2:5" ht="12.75">
      <c r="B23" s="12" t="s">
        <v>50</v>
      </c>
      <c r="C23" s="12" t="s">
        <v>51</v>
      </c>
      <c r="D23" s="21"/>
      <c r="E23" s="12"/>
    </row>
    <row r="25" spans="1:9" ht="14.25">
      <c r="A25" s="2" t="s">
        <v>52</v>
      </c>
      <c r="B25" s="14" t="s">
        <v>53</v>
      </c>
      <c r="I25" s="2" t="s">
        <v>54</v>
      </c>
    </row>
    <row r="26" spans="2:3" ht="12.75">
      <c r="B26" s="12" t="s">
        <v>55</v>
      </c>
      <c r="C26" s="12" t="s">
        <v>56</v>
      </c>
    </row>
    <row r="28" spans="1:9" ht="14.25">
      <c r="A28" s="2" t="s">
        <v>57</v>
      </c>
      <c r="B28" s="14" t="s">
        <v>58</v>
      </c>
      <c r="I28" s="2" t="s">
        <v>59</v>
      </c>
    </row>
    <row r="29" spans="2:5" ht="12.75">
      <c r="B29" s="12" t="s">
        <v>60</v>
      </c>
      <c r="C29" s="12" t="s">
        <v>61</v>
      </c>
      <c r="D29" s="11"/>
      <c r="E29" s="12" t="s">
        <v>62</v>
      </c>
    </row>
    <row r="31" spans="1:9" ht="14.25">
      <c r="A31" s="2" t="s">
        <v>63</v>
      </c>
      <c r="B31" s="14" t="s">
        <v>64</v>
      </c>
      <c r="I31" s="2" t="s">
        <v>65</v>
      </c>
    </row>
    <row r="32" spans="2:5" ht="12.75">
      <c r="B32" s="12" t="s">
        <v>66</v>
      </c>
      <c r="C32" s="12" t="s">
        <v>67</v>
      </c>
      <c r="D32" s="11"/>
      <c r="E32" s="12" t="s">
        <v>68</v>
      </c>
    </row>
    <row r="34" spans="1:9" ht="14.25">
      <c r="A34" s="2" t="s">
        <v>69</v>
      </c>
      <c r="B34" t="s">
        <v>70</v>
      </c>
      <c r="I34" s="2" t="s">
        <v>71</v>
      </c>
    </row>
    <row r="35" spans="2:3" ht="12.75">
      <c r="B35" s="12" t="s">
        <v>72</v>
      </c>
      <c r="C35" s="12" t="s">
        <v>73</v>
      </c>
    </row>
    <row r="37" spans="1:9" ht="14.25">
      <c r="A37" s="2" t="s">
        <v>74</v>
      </c>
      <c r="B37" s="14" t="s">
        <v>75</v>
      </c>
      <c r="I37" s="2" t="s">
        <v>76</v>
      </c>
    </row>
    <row r="38" spans="1:10" ht="12.75">
      <c r="A38" s="22"/>
      <c r="B38" s="23" t="s">
        <v>77</v>
      </c>
      <c r="C38" s="24" t="s">
        <v>78</v>
      </c>
      <c r="D38" s="25"/>
      <c r="E38" s="23"/>
      <c r="F38" s="22"/>
      <c r="G38" s="22"/>
      <c r="H38" s="22"/>
      <c r="I38" s="26"/>
      <c r="J38" s="22"/>
    </row>
    <row r="39" ht="12.75">
      <c r="I39" s="27"/>
    </row>
    <row r="40" spans="1:5" ht="12.75">
      <c r="A40" s="28" t="s">
        <v>79</v>
      </c>
      <c r="B40" s="18"/>
      <c r="C40" s="18"/>
      <c r="D40" s="18"/>
      <c r="E40" s="18"/>
    </row>
    <row r="41" spans="2:5" ht="12.75">
      <c r="B41" s="18"/>
      <c r="C41" s="18"/>
      <c r="D41" s="18"/>
      <c r="E41" s="18"/>
    </row>
    <row r="42" spans="2:5" ht="12.75">
      <c r="B42" s="18"/>
      <c r="C42" s="18"/>
      <c r="D42" s="18"/>
      <c r="E42" s="1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27"/>
  <sheetViews>
    <sheetView workbookViewId="0" topLeftCell="A8">
      <selection activeCell="B11" sqref="B11"/>
    </sheetView>
  </sheetViews>
  <sheetFormatPr defaultColWidth="9.140625" defaultRowHeight="12.75"/>
  <cols>
    <col min="1" max="1" width="14.8515625" style="0" customWidth="1"/>
    <col min="2" max="2" width="13.8515625" style="0" customWidth="1"/>
    <col min="4" max="4" width="13.8515625" style="0" customWidth="1"/>
    <col min="5" max="5" width="12.28125" style="0" customWidth="1"/>
    <col min="7" max="7" width="13.8515625" style="0" customWidth="1"/>
    <col min="8" max="8" width="12.28125" style="0" customWidth="1"/>
  </cols>
  <sheetData>
    <row r="1" spans="1:8" ht="12.75">
      <c r="A1" s="2" t="s">
        <v>187</v>
      </c>
      <c r="B1" s="2" t="s">
        <v>187</v>
      </c>
      <c r="D1" s="30" t="s">
        <v>125</v>
      </c>
      <c r="E1" s="30" t="s">
        <v>125</v>
      </c>
      <c r="G1" s="30" t="s">
        <v>128</v>
      </c>
      <c r="H1" s="30" t="s">
        <v>128</v>
      </c>
    </row>
    <row r="3" spans="1:8" ht="12.75">
      <c r="A3" s="18" t="s">
        <v>124</v>
      </c>
      <c r="B3" s="18">
        <v>8.671316871456195</v>
      </c>
      <c r="D3" s="18" t="s">
        <v>124</v>
      </c>
      <c r="E3" s="18">
        <v>-4.3600564975757825</v>
      </c>
      <c r="G3" s="89" t="s">
        <v>124</v>
      </c>
      <c r="H3" s="18">
        <v>-7.909763068775278</v>
      </c>
    </row>
    <row r="4" spans="1:8" ht="13.5" thickBot="1">
      <c r="A4" s="88" t="s">
        <v>186</v>
      </c>
      <c r="B4" s="88">
        <v>0.016662726318299837</v>
      </c>
      <c r="D4" s="18" t="s">
        <v>126</v>
      </c>
      <c r="E4" s="18">
        <v>0.6754746380587816</v>
      </c>
      <c r="G4" s="89" t="s">
        <v>129</v>
      </c>
      <c r="H4" s="18">
        <v>0.017116695890036292</v>
      </c>
    </row>
    <row r="5" spans="1:8" ht="13.5" thickBot="1">
      <c r="A5" s="97"/>
      <c r="B5" s="97"/>
      <c r="D5" s="88" t="s">
        <v>127</v>
      </c>
      <c r="E5" s="88">
        <v>0.5421433821849985</v>
      </c>
      <c r="G5" s="90" t="s">
        <v>130</v>
      </c>
      <c r="H5" s="88">
        <v>0.16476412653531552</v>
      </c>
    </row>
    <row r="10" spans="1:8" ht="12.75">
      <c r="A10" s="2" t="s">
        <v>131</v>
      </c>
      <c r="B10" s="2" t="s">
        <v>131</v>
      </c>
      <c r="D10" s="30" t="s">
        <v>133</v>
      </c>
      <c r="E10" s="30" t="s">
        <v>133</v>
      </c>
      <c r="G10" s="2" t="s">
        <v>136</v>
      </c>
      <c r="H10" s="2" t="s">
        <v>136</v>
      </c>
    </row>
    <row r="11" spans="1:8" ht="12.75">
      <c r="A11" s="18" t="s">
        <v>124</v>
      </c>
      <c r="B11" s="18">
        <v>-5.643174066980841</v>
      </c>
      <c r="D11" s="18" t="s">
        <v>124</v>
      </c>
      <c r="E11" s="19">
        <v>-50.28303462878896</v>
      </c>
      <c r="G11" s="18" t="s">
        <v>124</v>
      </c>
      <c r="H11" s="18">
        <v>14.407813082641843</v>
      </c>
    </row>
    <row r="12" spans="1:8" ht="13.5" thickBot="1">
      <c r="A12" s="88" t="s">
        <v>132</v>
      </c>
      <c r="B12" s="88">
        <v>1.214477327933511</v>
      </c>
      <c r="D12" s="18" t="s">
        <v>134</v>
      </c>
      <c r="E12" s="19">
        <v>0.017220968394112662</v>
      </c>
      <c r="G12" s="88" t="s">
        <v>137</v>
      </c>
      <c r="H12" s="88">
        <v>0.020741188788738877</v>
      </c>
    </row>
    <row r="13" spans="4:5" ht="13.5" thickBot="1">
      <c r="D13" s="88" t="s">
        <v>135</v>
      </c>
      <c r="E13" s="91">
        <v>0.6374751260916757</v>
      </c>
    </row>
    <row r="17" spans="1:8" ht="12.75">
      <c r="A17" s="2" t="s">
        <v>138</v>
      </c>
      <c r="B17" s="2" t="s">
        <v>138</v>
      </c>
      <c r="D17" s="30" t="s">
        <v>140</v>
      </c>
      <c r="E17" s="30" t="s">
        <v>140</v>
      </c>
      <c r="G17" s="30" t="s">
        <v>143</v>
      </c>
      <c r="H17" s="30" t="s">
        <v>143</v>
      </c>
    </row>
    <row r="18" spans="1:8" ht="12.75">
      <c r="A18" s="18" t="s">
        <v>124</v>
      </c>
      <c r="B18" s="18">
        <v>7.553750036213184</v>
      </c>
      <c r="D18" s="18" t="s">
        <v>124</v>
      </c>
      <c r="E18" s="18">
        <v>7869.251279578901</v>
      </c>
      <c r="G18" s="18" t="s">
        <v>124</v>
      </c>
      <c r="H18" s="18">
        <v>-122.19316484765316</v>
      </c>
    </row>
    <row r="19" spans="1:8" ht="13.5" thickBot="1">
      <c r="A19" s="88" t="s">
        <v>139</v>
      </c>
      <c r="B19" s="88">
        <v>0.013658761489516271</v>
      </c>
      <c r="D19" s="18" t="s">
        <v>141</v>
      </c>
      <c r="E19" s="18">
        <v>-1158.9318864323075</v>
      </c>
      <c r="G19" s="18" t="s">
        <v>146</v>
      </c>
      <c r="H19" s="18">
        <v>0.007525665978685242</v>
      </c>
    </row>
    <row r="20" spans="4:8" ht="13.5" thickBot="1">
      <c r="D20" s="88" t="s">
        <v>142</v>
      </c>
      <c r="E20" s="88">
        <v>139.0398607163598</v>
      </c>
      <c r="G20" s="88" t="s">
        <v>147</v>
      </c>
      <c r="H20" s="88">
        <v>0.04583807920123873</v>
      </c>
    </row>
    <row r="25" spans="1:5" ht="12.75">
      <c r="A25" s="30" t="s">
        <v>144</v>
      </c>
      <c r="B25" s="30" t="s">
        <v>144</v>
      </c>
      <c r="D25" s="30" t="s">
        <v>145</v>
      </c>
      <c r="E25" s="30" t="s">
        <v>145</v>
      </c>
    </row>
    <row r="26" spans="1:5" ht="12.75">
      <c r="A26" s="92" t="s">
        <v>124</v>
      </c>
      <c r="B26" s="92">
        <v>22.030627638957228</v>
      </c>
      <c r="D26" s="18" t="s">
        <v>124</v>
      </c>
      <c r="E26" s="18">
        <v>-122.15578686237292</v>
      </c>
    </row>
    <row r="27" spans="1:5" ht="13.5" thickBot="1">
      <c r="A27" s="93" t="s">
        <v>148</v>
      </c>
      <c r="B27" s="93">
        <v>0.03108010633658501</v>
      </c>
      <c r="D27" s="88" t="s">
        <v>149</v>
      </c>
      <c r="E27" s="88">
        <v>0.03644106534896254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DE42"/>
  <sheetViews>
    <sheetView workbookViewId="0" topLeftCell="A1">
      <pane xSplit="1" ySplit="1" topLeftCell="CZ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U2" sqref="CU2:CW32"/>
    </sheetView>
  </sheetViews>
  <sheetFormatPr defaultColWidth="9.140625" defaultRowHeight="12.75"/>
  <cols>
    <col min="1" max="1" width="11.140625" style="0" customWidth="1"/>
    <col min="2" max="4" width="11.00390625" style="0" customWidth="1"/>
    <col min="5" max="5" width="10.57421875" style="0" customWidth="1"/>
    <col min="6" max="6" width="16.28125" style="0" customWidth="1"/>
    <col min="7" max="7" width="10.140625" style="0" customWidth="1"/>
    <col min="8" max="8" width="11.28125" style="0" customWidth="1"/>
    <col min="9" max="9" width="13.00390625" style="0" customWidth="1"/>
    <col min="10" max="10" width="11.140625" style="0" customWidth="1"/>
    <col min="11" max="11" width="11.00390625" style="0" customWidth="1"/>
    <col min="12" max="12" width="13.421875" style="0" customWidth="1"/>
    <col min="13" max="13" width="2.28125" style="0" customWidth="1"/>
    <col min="14" max="14" width="14.421875" style="0" customWidth="1"/>
    <col min="15" max="15" width="2.28125" style="0" customWidth="1"/>
    <col min="16" max="17" width="13.7109375" style="0" customWidth="1"/>
    <col min="18" max="18" width="10.7109375" style="0" customWidth="1"/>
    <col min="19" max="19" width="13.7109375" style="0" customWidth="1"/>
    <col min="20" max="20" width="12.00390625" style="0" customWidth="1"/>
    <col min="21" max="21" width="15.7109375" style="0" customWidth="1"/>
    <col min="22" max="22" width="2.28125" style="0" customWidth="1"/>
    <col min="23" max="25" width="12.7109375" style="0" customWidth="1"/>
    <col min="26" max="26" width="20.00390625" style="0" customWidth="1"/>
    <col min="27" max="27" width="1.7109375" style="0" customWidth="1"/>
    <col min="28" max="28" width="19.8515625" style="0" customWidth="1"/>
    <col min="29" max="33" width="12.7109375" style="0" customWidth="1"/>
    <col min="34" max="34" width="14.140625" style="0" customWidth="1"/>
    <col min="35" max="38" width="12.7109375" style="0" customWidth="1"/>
    <col min="40" max="43" width="12.7109375" style="0" customWidth="1"/>
    <col min="48" max="48" width="11.140625" style="0" customWidth="1"/>
    <col min="49" max="49" width="11.421875" style="0" customWidth="1"/>
    <col min="82" max="82" width="11.57421875" style="0" customWidth="1"/>
    <col min="83" max="83" width="11.00390625" style="0" customWidth="1"/>
    <col min="86" max="87" width="12.7109375" style="0" customWidth="1"/>
    <col min="90" max="91" width="12.7109375" style="0" customWidth="1"/>
    <col min="93" max="94" width="12.7109375" style="0" customWidth="1"/>
    <col min="99" max="109" width="12.7109375" style="0" customWidth="1"/>
  </cols>
  <sheetData>
    <row r="1" spans="1:109" ht="38.25">
      <c r="A1" s="30" t="s">
        <v>114</v>
      </c>
      <c r="B1" s="30" t="s">
        <v>150</v>
      </c>
      <c r="C1" s="30" t="s">
        <v>152</v>
      </c>
      <c r="D1" s="30" t="s">
        <v>151</v>
      </c>
      <c r="E1" s="30" t="s">
        <v>153</v>
      </c>
      <c r="F1" s="30" t="s">
        <v>154</v>
      </c>
      <c r="G1" s="30" t="s">
        <v>123</v>
      </c>
      <c r="H1" s="30" t="s">
        <v>125</v>
      </c>
      <c r="I1" s="30" t="s">
        <v>155</v>
      </c>
      <c r="J1" s="30" t="s">
        <v>156</v>
      </c>
      <c r="K1" s="30" t="s">
        <v>157</v>
      </c>
      <c r="L1" s="30" t="s">
        <v>158</v>
      </c>
      <c r="N1" s="77" t="s">
        <v>160</v>
      </c>
      <c r="O1" s="77"/>
      <c r="P1" s="94" t="s">
        <v>161</v>
      </c>
      <c r="Q1" s="94" t="s">
        <v>294</v>
      </c>
      <c r="R1" s="94" t="s">
        <v>162</v>
      </c>
      <c r="S1" s="94" t="s">
        <v>292</v>
      </c>
      <c r="T1" s="94" t="s">
        <v>164</v>
      </c>
      <c r="U1" s="94" t="s">
        <v>165</v>
      </c>
      <c r="W1" s="94" t="s">
        <v>166</v>
      </c>
      <c r="X1" s="94" t="s">
        <v>167</v>
      </c>
      <c r="Y1" s="94" t="s">
        <v>168</v>
      </c>
      <c r="Z1" s="94" t="s">
        <v>169</v>
      </c>
      <c r="AB1" s="94" t="s">
        <v>170</v>
      </c>
      <c r="AC1" s="94" t="s">
        <v>171</v>
      </c>
      <c r="AD1" s="94" t="s">
        <v>172</v>
      </c>
      <c r="AE1" s="94" t="s">
        <v>173</v>
      </c>
      <c r="AF1" s="94" t="s">
        <v>174</v>
      </c>
      <c r="AG1" s="94" t="s">
        <v>295</v>
      </c>
      <c r="AH1" s="77" t="s">
        <v>176</v>
      </c>
      <c r="AI1" s="94" t="s">
        <v>177</v>
      </c>
      <c r="AJ1" s="94" t="s">
        <v>178</v>
      </c>
      <c r="AK1" s="94" t="s">
        <v>179</v>
      </c>
      <c r="AL1" s="94" t="s">
        <v>180</v>
      </c>
      <c r="AN1" s="77" t="s">
        <v>181</v>
      </c>
      <c r="AO1" s="77" t="s">
        <v>182</v>
      </c>
      <c r="AP1" s="77" t="s">
        <v>183</v>
      </c>
      <c r="AQ1" s="77" t="s">
        <v>184</v>
      </c>
      <c r="AS1" s="77" t="s">
        <v>343</v>
      </c>
      <c r="AT1" s="77" t="s">
        <v>344</v>
      </c>
      <c r="AU1" s="77" t="s">
        <v>345</v>
      </c>
      <c r="AV1" s="116" t="s">
        <v>322</v>
      </c>
      <c r="AW1" s="116" t="s">
        <v>323</v>
      </c>
      <c r="BB1" s="116" t="s">
        <v>296</v>
      </c>
      <c r="BC1" s="116" t="s">
        <v>297</v>
      </c>
      <c r="BE1" s="116" t="s">
        <v>298</v>
      </c>
      <c r="BF1" s="116" t="s">
        <v>299</v>
      </c>
      <c r="BH1" s="116" t="s">
        <v>300</v>
      </c>
      <c r="BI1" s="116" t="s">
        <v>301</v>
      </c>
      <c r="BK1" s="116" t="s">
        <v>303</v>
      </c>
      <c r="BL1" s="116" t="s">
        <v>302</v>
      </c>
      <c r="BN1" s="116" t="s">
        <v>304</v>
      </c>
      <c r="BO1" s="116" t="s">
        <v>305</v>
      </c>
      <c r="BQ1" s="116" t="s">
        <v>307</v>
      </c>
      <c r="BR1" s="116" t="s">
        <v>306</v>
      </c>
      <c r="BT1" s="116" t="s">
        <v>308</v>
      </c>
      <c r="BU1" s="116" t="s">
        <v>309</v>
      </c>
      <c r="BW1" s="116" t="s">
        <v>310</v>
      </c>
      <c r="BX1" s="116" t="s">
        <v>311</v>
      </c>
      <c r="BY1" s="116"/>
      <c r="CA1" s="116" t="s">
        <v>312</v>
      </c>
      <c r="CB1" s="116" t="s">
        <v>313</v>
      </c>
      <c r="CC1" s="116"/>
      <c r="CE1" s="116" t="s">
        <v>317</v>
      </c>
      <c r="CF1" s="116" t="s">
        <v>313</v>
      </c>
      <c r="CH1" s="116" t="s">
        <v>324</v>
      </c>
      <c r="CI1" s="116" t="s">
        <v>325</v>
      </c>
      <c r="CL1" s="116" t="s">
        <v>326</v>
      </c>
      <c r="CM1" s="116" t="s">
        <v>327</v>
      </c>
      <c r="CO1" s="116" t="s">
        <v>329</v>
      </c>
      <c r="CP1" s="116" t="s">
        <v>328</v>
      </c>
      <c r="CU1" s="128" t="s">
        <v>365</v>
      </c>
      <c r="CV1" s="128" t="s">
        <v>366</v>
      </c>
      <c r="CW1" s="128" t="s">
        <v>367</v>
      </c>
      <c r="CX1" s="127"/>
      <c r="CY1" s="128" t="s">
        <v>368</v>
      </c>
      <c r="CZ1" s="128" t="s">
        <v>369</v>
      </c>
      <c r="DA1" s="128" t="s">
        <v>370</v>
      </c>
      <c r="DC1" s="128" t="s">
        <v>371</v>
      </c>
      <c r="DD1" s="128" t="s">
        <v>372</v>
      </c>
      <c r="DE1" s="128" t="s">
        <v>373</v>
      </c>
    </row>
    <row r="2" spans="1:109" s="98" customFormat="1" ht="12.75">
      <c r="A2" s="98">
        <v>2000</v>
      </c>
      <c r="B2" s="98">
        <f>MSAData!I32</f>
        <v>85.3</v>
      </c>
      <c r="C2" s="98">
        <f>MSAData!F32</f>
        <v>129.6</v>
      </c>
      <c r="D2" s="98">
        <f>MSAData!E32</f>
        <v>144.4</v>
      </c>
      <c r="E2" s="98">
        <f>MSAData!D32</f>
        <v>143.1</v>
      </c>
      <c r="F2" s="99">
        <f>MSAData!G32</f>
        <v>67.80163633361755</v>
      </c>
      <c r="G2" s="99">
        <f>MSAData!B32</f>
        <v>377.3</v>
      </c>
      <c r="H2" s="99">
        <f>MSAData!C32</f>
        <v>80.2</v>
      </c>
      <c r="I2" s="99">
        <f>MSAData!J32</f>
        <v>161.7932352814788</v>
      </c>
      <c r="J2" s="99">
        <f>MSAData!K32</f>
        <v>350.7201089230505</v>
      </c>
      <c r="K2" s="99">
        <f>MSAData!L32</f>
        <v>504.0674931640383</v>
      </c>
      <c r="L2" s="99">
        <f>MSAData!H32</f>
        <v>244.8</v>
      </c>
      <c r="N2" s="100">
        <f>ROUND(SUM(B2:L2),1)</f>
        <v>2289.1</v>
      </c>
      <c r="O2" s="100"/>
      <c r="P2" s="98">
        <f>AnnualFactors!J3</f>
        <v>342.57599999999996</v>
      </c>
      <c r="Q2" s="100">
        <f>ROUND((N2+P2),1)</f>
        <v>2631.7</v>
      </c>
      <c r="R2" s="100">
        <f>ROUND((AnnualFactors!G3*Q2),1)</f>
        <v>142.4</v>
      </c>
      <c r="S2" s="100">
        <f>Q2+R2</f>
        <v>2774.1</v>
      </c>
      <c r="T2" s="100">
        <f>ROUND(AnnualFactors!K3,1)</f>
        <v>79.3</v>
      </c>
      <c r="U2" s="100">
        <f>S2+T2</f>
        <v>2853.4</v>
      </c>
      <c r="V2" s="100"/>
      <c r="W2" s="100">
        <f>ROUND(AnnualFactors!B3*U2,1)</f>
        <v>171.2</v>
      </c>
      <c r="X2" s="100">
        <f>U2-W2</f>
        <v>2682.2000000000003</v>
      </c>
      <c r="Y2" s="100">
        <f>ROUND(AnnualFactors!F3*X2,1)</f>
        <v>164.2</v>
      </c>
      <c r="Z2" s="100">
        <f>X2-Y2</f>
        <v>2518.0000000000005</v>
      </c>
      <c r="AB2" s="101">
        <f>AnnualFactors!C3</f>
        <v>0.7847</v>
      </c>
      <c r="AC2" s="100">
        <f>ROUND((Z2/AB2),1)</f>
        <v>3208.9</v>
      </c>
      <c r="AD2" s="102">
        <f>AnnualFactors!D3</f>
        <v>0.3305806883005621</v>
      </c>
      <c r="AE2" s="100">
        <f>ROUND(AC2*AD2,1)</f>
        <v>1060.8</v>
      </c>
      <c r="AF2" s="102">
        <f>AnnualFactors!E3</f>
        <v>0.13048489008118738</v>
      </c>
      <c r="AG2" s="98">
        <f>ROUND(AC2*AF2,1)</f>
        <v>418.7</v>
      </c>
      <c r="AH2" s="100">
        <f>AC2+AE2+AG2</f>
        <v>4688.4</v>
      </c>
      <c r="AI2" s="98">
        <f>ROUND(AnnualFactors!H3*AH2,1)</f>
        <v>94.2</v>
      </c>
      <c r="AJ2" s="100">
        <f>AH2-AI2</f>
        <v>4594.2</v>
      </c>
      <c r="AK2" s="103">
        <f>AnnualFactors!I3</f>
        <v>2.60768</v>
      </c>
      <c r="AL2" s="100">
        <f>ROUND(AJ2/AK2,1)</f>
        <v>1761.8</v>
      </c>
      <c r="AN2" s="104">
        <f>ROUND(4544.9/AH$2*AH2,1)</f>
        <v>4544.9</v>
      </c>
      <c r="AO2" s="104">
        <f>ROUND(91.5/AI$2*AI2,1)</f>
        <v>91.5</v>
      </c>
      <c r="AP2" s="104">
        <f>AN2-AO2</f>
        <v>4453.4</v>
      </c>
      <c r="AQ2" s="100">
        <f>AP2/AK2</f>
        <v>1707.8015707448765</v>
      </c>
      <c r="AR2" s="100"/>
      <c r="AS2" s="100">
        <f>(AE2/(AC2+AE2+AG2))*AN2</f>
        <v>1028.3316099308934</v>
      </c>
      <c r="AT2" s="100">
        <f>(AC2/(AC2+AE2+AG2))*AN2</f>
        <v>3110.683732190086</v>
      </c>
      <c r="AU2" s="100">
        <f>(AG2/(AC2+AE2+AG2))*AN2</f>
        <v>405.88465787902055</v>
      </c>
      <c r="AV2" s="115">
        <f>Y2/X2</f>
        <v>0.06121840280366862</v>
      </c>
      <c r="AW2" s="118">
        <v>0.069</v>
      </c>
      <c r="BA2" s="56">
        <v>2000</v>
      </c>
      <c r="BB2" s="60">
        <f>U2</f>
        <v>2853.4</v>
      </c>
      <c r="BC2" s="56">
        <v>2823.8</v>
      </c>
      <c r="BD2" s="56"/>
      <c r="BE2" s="60">
        <f>AN2</f>
        <v>4544.9</v>
      </c>
      <c r="BF2" s="56">
        <v>4552.2</v>
      </c>
      <c r="BG2" s="56"/>
      <c r="BH2" s="60">
        <f>AQ2</f>
        <v>1707.8015707448765</v>
      </c>
      <c r="BI2" s="56">
        <v>1714.8</v>
      </c>
      <c r="BJ2" s="56"/>
      <c r="BK2" s="56">
        <f>BE2/BB2</f>
        <v>1.5928015700567741</v>
      </c>
      <c r="BL2" s="56">
        <f>BF2/BC2</f>
        <v>1.6120830087116649</v>
      </c>
      <c r="CH2" s="115">
        <f>AD2</f>
        <v>0.3305806883005621</v>
      </c>
      <c r="CI2" s="102">
        <v>0.208</v>
      </c>
      <c r="CL2" s="115">
        <f>AF2</f>
        <v>0.13048489008118738</v>
      </c>
      <c r="CM2" s="119">
        <v>0.087</v>
      </c>
      <c r="CO2" s="120">
        <f>AB2</f>
        <v>0.7847</v>
      </c>
      <c r="CP2" s="102">
        <v>0.77</v>
      </c>
      <c r="CU2" s="100">
        <f>U2</f>
        <v>2853.4</v>
      </c>
      <c r="CV2" s="100">
        <f>CalculationsLow!U2</f>
        <v>2853.4</v>
      </c>
      <c r="CW2" s="100">
        <f>CalculationsHigh!U2</f>
        <v>2868.9</v>
      </c>
      <c r="CY2" s="100">
        <f>AN2</f>
        <v>4544.9</v>
      </c>
      <c r="CZ2" s="100">
        <f>CalculationsLow!AN2</f>
        <v>4544.9</v>
      </c>
      <c r="DA2" s="100">
        <f>CalculationsHigh!AN2</f>
        <v>4544.9</v>
      </c>
      <c r="DC2" s="100">
        <f>AQ2</f>
        <v>1707.8015707448765</v>
      </c>
      <c r="DD2" s="100">
        <f>CalculationsLow!AQ2</f>
        <v>1707.8015707448765</v>
      </c>
      <c r="DE2" s="100">
        <f>CalculationsHigh!AQ2</f>
        <v>1707.8015707448765</v>
      </c>
    </row>
    <row r="3" spans="1:109" ht="12.75">
      <c r="A3">
        <v>2001</v>
      </c>
      <c r="B3" s="34">
        <f>SectorParameters!E$18+(SectorParameters!E$19*LN(A3))+SectorParameters!E$20*LN(NationalDataInterm!C45)</f>
        <v>75.71747269758941</v>
      </c>
      <c r="C3" s="34">
        <f>SectorParameters!E$11+(SectorParameters!E$12*NationalDataInterm!E45+SectorParameters!E$13*B3)</f>
        <v>119.65111253085584</v>
      </c>
      <c r="D3" s="34">
        <f>EXP(SectorParameters!B$11+SectorParameters!B$12*LN(NationalDataInterm!D45))</f>
        <v>156.56676698143968</v>
      </c>
      <c r="E3" s="34">
        <f>SectorParameters!H$3+(SectorParameters!H$4*NationalDataInterm!H45+SectorParameters!H$5*D2)</f>
        <v>147.88613550688416</v>
      </c>
      <c r="F3" s="34">
        <f>SectorParameters!H$11+SectorParameters!H$12*NationalDataInterm!L45</f>
        <v>65.59706701324939</v>
      </c>
      <c r="G3" s="34">
        <f>SectorParameters!B$3+SectorParameters!B$4*NationalDataInterm!F45</f>
        <v>400.611965330505</v>
      </c>
      <c r="H3" s="34">
        <f>EXP(SectorParameters!E$3+SectorParameters!E$4*LN(G2)+SectorParameters!E$5*LN(NationalDataInterm!G45))</f>
        <v>83.92183746251985</v>
      </c>
      <c r="I3" s="34">
        <f>SectorParameters!H$18+(SectorParameters!H$19*NationalDataInterm!K45+SectorParameters!H$20*MSAData!N33)</f>
        <v>173.80607403661264</v>
      </c>
      <c r="J3" s="34">
        <f>SectorParameters!B$26+SectorParameters!B$27*NationalDataInterm!J45</f>
        <v>319.5387295246499</v>
      </c>
      <c r="K3" s="34">
        <f>SectorParameters!E$26+SectorParameters!E$27*NationalDataInterm!M45</f>
        <v>542.7588238144023</v>
      </c>
      <c r="L3" s="34">
        <f>SectorParameters!B$18+SectorParameters!B$19*NationalDataInterm!N45</f>
        <v>257.7412842396827</v>
      </c>
      <c r="N3" s="34">
        <f>ROUND(SUM(B3:L3),1)</f>
        <v>2343.8</v>
      </c>
      <c r="O3" s="34"/>
      <c r="P3">
        <f>AnnualFactors!J4</f>
        <v>332.9819999999999</v>
      </c>
      <c r="Q3" s="34">
        <f>ROUND((N3+P3),1)</f>
        <v>2676.8</v>
      </c>
      <c r="R3" s="34">
        <f>ROUND((AnnualFactors!G4*Q3),1)</f>
        <v>144.8</v>
      </c>
      <c r="S3" s="34">
        <f>Q3+R3</f>
        <v>2821.6000000000004</v>
      </c>
      <c r="T3" s="34">
        <f>ROUND(AnnualFactors!K4,1)</f>
        <v>79.3</v>
      </c>
      <c r="U3" s="34">
        <f>S3+T3</f>
        <v>2900.9000000000005</v>
      </c>
      <c r="V3" s="34"/>
      <c r="W3" s="34">
        <f>ROUND(AnnualFactors!B4*U3,1)</f>
        <v>174.1</v>
      </c>
      <c r="X3" s="34">
        <f>U3-W3</f>
        <v>2726.8000000000006</v>
      </c>
      <c r="Y3" s="60">
        <f>ROUND(AnnualFactors!F4*X3,1)</f>
        <v>167.6</v>
      </c>
      <c r="Z3" s="34">
        <f>X3-Y3</f>
        <v>2559.2000000000007</v>
      </c>
      <c r="AB3" s="95">
        <f>AnnualFactors!C4</f>
        <v>0.7871249658219122</v>
      </c>
      <c r="AC3" s="34">
        <f>ROUND((Z3/AB3),1)</f>
        <v>3251.3</v>
      </c>
      <c r="AD3" s="8">
        <f>AnnualFactors!D4</f>
        <v>0.32825385135107626</v>
      </c>
      <c r="AE3" s="34">
        <f>ROUND(AC3*AD3,1)</f>
        <v>1067.3</v>
      </c>
      <c r="AF3" s="8">
        <f>AnnualFactors!E4</f>
        <v>0.1301899439280937</v>
      </c>
      <c r="AG3">
        <f>ROUND(AC3*AF3,1)</f>
        <v>423.3</v>
      </c>
      <c r="AH3" s="34">
        <f>AC3+AE3+AG3</f>
        <v>4741.900000000001</v>
      </c>
      <c r="AI3">
        <f>ROUND(AnnualFactors!H4*AH3,1)</f>
        <v>95.3</v>
      </c>
      <c r="AJ3" s="34">
        <f>AH3-AI3</f>
        <v>4646.6</v>
      </c>
      <c r="AK3" s="9">
        <f>AnnualFactors!I4</f>
        <v>2.607</v>
      </c>
      <c r="AL3" s="34">
        <f>ROUND(AJ3/AK3,1)</f>
        <v>1782.4</v>
      </c>
      <c r="AN3" s="96">
        <f>ROUND(4544.9/AH$2*AH3,1)</f>
        <v>4596.8</v>
      </c>
      <c r="AO3" s="96">
        <f>ROUND(91.5/AI$2*AI3,1)</f>
        <v>92.6</v>
      </c>
      <c r="AP3" s="96">
        <f>AN3-AO3</f>
        <v>4504.2</v>
      </c>
      <c r="AQ3" s="34">
        <f>AP3/AK3</f>
        <v>1727.7330264672034</v>
      </c>
      <c r="AS3" s="60">
        <f aca="true" t="shared" si="0" ref="AS3:AS32">(AE3/(AC3+AE3+AG3))*AN3</f>
        <v>1034.6411016681077</v>
      </c>
      <c r="AT3" s="60">
        <f aca="true" t="shared" si="1" ref="AT3:AT32">(AC3/(AC3+AE3+AG3))*AN3</f>
        <v>3151.8116872983405</v>
      </c>
      <c r="AU3" s="60">
        <f aca="true" t="shared" si="2" ref="AU3:AU32">(AG3/(AC3+AE3+AG3))*AN3</f>
        <v>410.3472110335519</v>
      </c>
      <c r="AV3" s="115">
        <f aca="true" t="shared" si="3" ref="AV3:AV32">Y3/X3</f>
        <v>0.061463987091095774</v>
      </c>
      <c r="AW3" s="118">
        <v>0.06960000000000001</v>
      </c>
      <c r="BA3" s="56">
        <v>2005</v>
      </c>
      <c r="BB3" s="60">
        <f>U7</f>
        <v>3051.7999999999997</v>
      </c>
      <c r="BC3" s="56">
        <v>3078.3</v>
      </c>
      <c r="BD3" s="56"/>
      <c r="BE3" s="60">
        <f>AN7</f>
        <v>4737.4</v>
      </c>
      <c r="BF3" s="56">
        <v>4974.5</v>
      </c>
      <c r="BG3" s="56"/>
      <c r="BH3" s="60">
        <f>AQ7</f>
        <v>1771.7557251908397</v>
      </c>
      <c r="BI3" s="56">
        <v>1872.7</v>
      </c>
      <c r="BJ3" s="56"/>
      <c r="BK3" s="56">
        <f aca="true" t="shared" si="4" ref="BK3:BK8">BE3/BB3</f>
        <v>1.5523297725932237</v>
      </c>
      <c r="BL3" s="56">
        <f aca="true" t="shared" si="5" ref="BL3:BL8">BF3/BC3</f>
        <v>1.615989344768216</v>
      </c>
      <c r="BN3">
        <f>(BB3-BB2)/(BE3-BE2)</f>
        <v>1.0306493506493488</v>
      </c>
      <c r="BO3">
        <f>(BC3-BC2)/(BF3-BF2)</f>
        <v>0.6026521430262843</v>
      </c>
      <c r="BQ3" s="34">
        <f aca="true" t="shared" si="6" ref="BQ3:BR8">BB3-BB2</f>
        <v>198.39999999999964</v>
      </c>
      <c r="BR3" s="34">
        <f t="shared" si="6"/>
        <v>254.5</v>
      </c>
      <c r="BT3" s="34">
        <f aca="true" t="shared" si="7" ref="BT3:BU8">BE3-BE2</f>
        <v>192.5</v>
      </c>
      <c r="BU3" s="34">
        <f t="shared" si="7"/>
        <v>422.3000000000002</v>
      </c>
      <c r="BW3" s="34">
        <f aca="true" t="shared" si="8" ref="BW3:BX8">BH3-BH2</f>
        <v>63.95415444596324</v>
      </c>
      <c r="BX3" s="34">
        <f t="shared" si="8"/>
        <v>157.9000000000001</v>
      </c>
      <c r="BY3" s="34"/>
      <c r="BZ3" t="s">
        <v>314</v>
      </c>
      <c r="CA3" s="34">
        <f>BB8-BB2</f>
        <v>1148.5</v>
      </c>
      <c r="CB3" s="34">
        <f>BC8-BC2</f>
        <v>1307.8999999999996</v>
      </c>
      <c r="CC3" s="34"/>
      <c r="CD3" t="s">
        <v>318</v>
      </c>
      <c r="CE3">
        <f>CA4/CA3</f>
        <v>1.819677840661733</v>
      </c>
      <c r="CF3">
        <f>CB4/CB3</f>
        <v>1.1848765196115914</v>
      </c>
      <c r="CH3" s="115">
        <f aca="true" t="shared" si="9" ref="CH3:CH32">AD3</f>
        <v>0.32825385135107626</v>
      </c>
      <c r="CI3" s="8">
        <v>0.20598</v>
      </c>
      <c r="CL3" s="115">
        <f aca="true" t="shared" si="10" ref="CL3:CL32">AF3</f>
        <v>0.1301899439280937</v>
      </c>
      <c r="CM3" s="119">
        <v>0.08864</v>
      </c>
      <c r="CO3" s="120">
        <f aca="true" t="shared" si="11" ref="CO3:CO32">AB3</f>
        <v>0.7871249658219122</v>
      </c>
      <c r="CP3" s="8">
        <v>0.776</v>
      </c>
      <c r="CU3" s="60">
        <f>U3</f>
        <v>2900.9000000000005</v>
      </c>
      <c r="CV3" s="60">
        <f>CalculationsLow!U3</f>
        <v>2900.9000000000005</v>
      </c>
      <c r="CW3" s="60">
        <f>CalculationsHigh!U3</f>
        <v>2916.7000000000003</v>
      </c>
      <c r="CY3" s="60">
        <f>AN3</f>
        <v>4596.8</v>
      </c>
      <c r="CZ3" s="60">
        <f>CalculationsLow!AN3</f>
        <v>4574.1</v>
      </c>
      <c r="DA3" s="60">
        <f>CalculationsHigh!AN3</f>
        <v>4619.9</v>
      </c>
      <c r="DC3" s="60">
        <f>AQ3</f>
        <v>1727.7330264672034</v>
      </c>
      <c r="DD3" s="60">
        <f>CalculationsLow!AQ3</f>
        <v>1719.21749136939</v>
      </c>
      <c r="DE3" s="60">
        <f>CalculationsHigh!AQ3</f>
        <v>1736.4787111622554</v>
      </c>
    </row>
    <row r="4" spans="1:109" ht="12.75">
      <c r="A4">
        <v>2002</v>
      </c>
      <c r="B4" s="34">
        <f>SectorParameters!E$18+(SectorParameters!E$19*LN(A4))+SectorParameters!E$20*LN(NationalDataInterm!C46)</f>
        <v>67.39069724166734</v>
      </c>
      <c r="C4" s="34">
        <f>SectorParameters!E$11+(SectorParameters!E$12*NationalDataInterm!E46+SectorParameters!E$13*B4)</f>
        <v>109.31447752607394</v>
      </c>
      <c r="D4" s="34">
        <f>EXP(SectorParameters!B$11+SectorParameters!B$12*LN(NationalDataInterm!D46))</f>
        <v>152.9051488177872</v>
      </c>
      <c r="E4" s="34">
        <f>SectorParameters!H$3+(SectorParameters!H$4*NationalDataInterm!H46+SectorParameters!H$5*D3)</f>
        <v>150.71238364406153</v>
      </c>
      <c r="F4" s="34">
        <f>SectorParameters!H$11+SectorParameters!H$12*NationalDataInterm!L46</f>
        <v>65.77751535571142</v>
      </c>
      <c r="G4" s="34">
        <f>SectorParameters!B$3+SectorParameters!B$4*NationalDataInterm!F46</f>
        <v>397.0128164457522</v>
      </c>
      <c r="H4" s="34">
        <f>EXP(SectorParameters!E$3+SectorParameters!E$4*LN(G3)+SectorParameters!E$5*LN(NationalDataInterm!G46))</f>
        <v>86.65334428567415</v>
      </c>
      <c r="I4" s="34">
        <f>SectorParameters!H$18+(SectorParameters!H$19*NationalDataInterm!K46+SectorParameters!H$20*AN3)</f>
        <v>168.8375031817065</v>
      </c>
      <c r="J4" s="34">
        <f>SectorParameters!B$26+SectorParameters!B$27*NationalDataInterm!J46</f>
        <v>311.2372331221481</v>
      </c>
      <c r="K4" s="34">
        <f>SectorParameters!E$26+SectorParameters!E$27*NationalDataInterm!M46</f>
        <v>548.669564614004</v>
      </c>
      <c r="L4" s="34">
        <f>SectorParameters!B$18+SectorParameters!B$19*NationalDataInterm!N46</f>
        <v>262.15306420079645</v>
      </c>
      <c r="N4" s="34">
        <f>ROUND(SUM(B4:L4),1)</f>
        <v>2320.7</v>
      </c>
      <c r="O4" s="34"/>
      <c r="P4">
        <f>AnnualFactors!J5</f>
        <v>333.423</v>
      </c>
      <c r="Q4" s="34">
        <f>ROUND((N4+P4),1)</f>
        <v>2654.1</v>
      </c>
      <c r="R4" s="34">
        <f>ROUND((AnnualFactors!G5*Q4),1)</f>
        <v>143.6</v>
      </c>
      <c r="S4" s="34">
        <f>Q4+R4</f>
        <v>2797.7</v>
      </c>
      <c r="T4" s="34">
        <f>ROUND(AnnualFactors!K5,1)</f>
        <v>79.6</v>
      </c>
      <c r="U4" s="34">
        <f>S4+T4</f>
        <v>2877.2999999999997</v>
      </c>
      <c r="V4" s="34"/>
      <c r="W4" s="34">
        <f>ROUND(AnnualFactors!B5*U4,1)</f>
        <v>172.6</v>
      </c>
      <c r="X4" s="34">
        <f>U4-W4</f>
        <v>2704.7</v>
      </c>
      <c r="Y4" s="60">
        <f>ROUND(AnnualFactors!F5*X4,1)</f>
        <v>167</v>
      </c>
      <c r="Z4" s="34">
        <f>X4-Y4</f>
        <v>2537.7</v>
      </c>
      <c r="AB4" s="95">
        <f>AnnualFactors!C5</f>
        <v>0.7895574255386089</v>
      </c>
      <c r="AC4" s="34">
        <f>ROUND((Z4/AB4),1)</f>
        <v>3214.1</v>
      </c>
      <c r="AD4" s="8">
        <f>AnnualFactors!D5</f>
        <v>0.3259433921586135</v>
      </c>
      <c r="AE4" s="34">
        <f>ROUND(AC4*AD4,1)</f>
        <v>1047.6</v>
      </c>
      <c r="AF4" s="8">
        <f>AnnualFactors!E5</f>
        <v>0.1298956644670068</v>
      </c>
      <c r="AG4">
        <f>ROUND(AC4*AF4,1)</f>
        <v>417.5</v>
      </c>
      <c r="AH4" s="34">
        <f>AC4+AE4+AG4</f>
        <v>4679.2</v>
      </c>
      <c r="AI4">
        <f>ROUND(AnnualFactors!H5*AH4,1)</f>
        <v>94.1</v>
      </c>
      <c r="AJ4" s="34">
        <f>AH4-AI4</f>
        <v>4585.099999999999</v>
      </c>
      <c r="AK4" s="9">
        <f>AnnualFactors!I5</f>
        <v>2.607</v>
      </c>
      <c r="AL4" s="34">
        <f>ROUND(AJ4/AK4,1)</f>
        <v>1758.8</v>
      </c>
      <c r="AN4" s="96">
        <f>ROUND(4544.9/AH$2*AH4,1)</f>
        <v>4536</v>
      </c>
      <c r="AO4" s="96">
        <f>ROUND(91.5/AI$2*AI4,1)</f>
        <v>91.4</v>
      </c>
      <c r="AP4" s="96">
        <f>AN4-AO4</f>
        <v>4444.6</v>
      </c>
      <c r="AQ4" s="34">
        <f>AP4/AK4</f>
        <v>1704.8714998082087</v>
      </c>
      <c r="AS4" s="60">
        <f t="shared" si="0"/>
        <v>1015.539750384681</v>
      </c>
      <c r="AT4" s="60">
        <f t="shared" si="1"/>
        <v>3115.7372200376135</v>
      </c>
      <c r="AU4" s="60">
        <f t="shared" si="2"/>
        <v>404.72302957770563</v>
      </c>
      <c r="AV4" s="115">
        <f t="shared" si="3"/>
        <v>0.06174437090989759</v>
      </c>
      <c r="AW4" s="118">
        <v>0.07020000000000001</v>
      </c>
      <c r="BA4" s="56">
        <v>2010</v>
      </c>
      <c r="BB4" s="60">
        <f>U12</f>
        <v>3406.2999999999997</v>
      </c>
      <c r="BC4" s="56">
        <v>3375.2</v>
      </c>
      <c r="BD4" s="56"/>
      <c r="BE4" s="60">
        <f>AN12</f>
        <v>5193.5</v>
      </c>
      <c r="BF4" s="56">
        <v>5308.5</v>
      </c>
      <c r="BG4" s="56"/>
      <c r="BH4" s="60">
        <f>AQ12</f>
        <v>1949.7701149425286</v>
      </c>
      <c r="BI4" s="56">
        <v>2012.1</v>
      </c>
      <c r="BJ4" s="56"/>
      <c r="BK4" s="56">
        <f t="shared" si="4"/>
        <v>1.5246748671579133</v>
      </c>
      <c r="BL4" s="56">
        <f t="shared" si="5"/>
        <v>1.5727956861815597</v>
      </c>
      <c r="BN4">
        <f aca="true" t="shared" si="12" ref="BN4:BO8">(BB4-BB3)/(BE4-BE3)</f>
        <v>0.777241832931374</v>
      </c>
      <c r="BO4">
        <f t="shared" si="12"/>
        <v>0.8889221556886217</v>
      </c>
      <c r="BQ4" s="34">
        <f t="shared" si="6"/>
        <v>354.5</v>
      </c>
      <c r="BR4" s="34">
        <f t="shared" si="6"/>
        <v>296.89999999999964</v>
      </c>
      <c r="BT4" s="34">
        <f t="shared" si="7"/>
        <v>456.10000000000036</v>
      </c>
      <c r="BU4" s="34">
        <f t="shared" si="7"/>
        <v>334</v>
      </c>
      <c r="BW4" s="34">
        <f t="shared" si="8"/>
        <v>178.0143897516889</v>
      </c>
      <c r="BX4" s="34">
        <f t="shared" si="8"/>
        <v>139.39999999999986</v>
      </c>
      <c r="BY4" s="34"/>
      <c r="BZ4" t="s">
        <v>315</v>
      </c>
      <c r="CA4" s="34">
        <f>BE8-BE2</f>
        <v>2089.9000000000005</v>
      </c>
      <c r="CB4" s="34">
        <f>BF8-BF2</f>
        <v>1549.6999999999998</v>
      </c>
      <c r="CC4" s="34"/>
      <c r="CD4" t="s">
        <v>319</v>
      </c>
      <c r="CE4">
        <f>CA4/CA5</f>
        <v>2.636693533685345</v>
      </c>
      <c r="CF4">
        <f>CB4/CB5</f>
        <v>2.418005929162116</v>
      </c>
      <c r="CH4" s="115">
        <f t="shared" si="9"/>
        <v>0.3259433921586135</v>
      </c>
      <c r="CI4" s="8">
        <v>0.20396</v>
      </c>
      <c r="CL4" s="115">
        <f t="shared" si="10"/>
        <v>0.1298956644670068</v>
      </c>
      <c r="CM4" s="119">
        <v>0.09028</v>
      </c>
      <c r="CO4" s="120">
        <f t="shared" si="11"/>
        <v>0.7895574255386089</v>
      </c>
      <c r="CP4" s="8">
        <v>0.782</v>
      </c>
      <c r="CU4" s="60">
        <f>U4</f>
        <v>2877.2999999999997</v>
      </c>
      <c r="CV4" s="60">
        <f>CalculationsLow!U4</f>
        <v>2883.1</v>
      </c>
      <c r="CW4" s="60">
        <f>CalculationsHigh!U4</f>
        <v>2902.4</v>
      </c>
      <c r="CY4" s="60">
        <f aca="true" t="shared" si="13" ref="CY4:CY32">AN4</f>
        <v>4536</v>
      </c>
      <c r="CZ4" s="60">
        <f>CalculationsLow!AN4</f>
        <v>4500.5</v>
      </c>
      <c r="DA4" s="60">
        <f>CalculationsHigh!AN4</f>
        <v>4596.7</v>
      </c>
      <c r="DC4" s="60">
        <f aca="true" t="shared" si="14" ref="DC4:DC32">AQ4</f>
        <v>1704.8714998082087</v>
      </c>
      <c r="DD4" s="60">
        <f>CalculationsLow!AQ4</f>
        <v>1691.561181434599</v>
      </c>
      <c r="DE4" s="60">
        <f>CalculationsHigh!AQ4</f>
        <v>1727.7330264672034</v>
      </c>
    </row>
    <row r="5" spans="1:109" ht="12.75">
      <c r="A5">
        <v>2003</v>
      </c>
      <c r="B5" s="34">
        <f>SectorParameters!E$18+(SectorParameters!E$19*LN(A5))+SectorParameters!E$20*LN(NationalDataInterm!C47)</f>
        <v>66.792231349654</v>
      </c>
      <c r="C5" s="34">
        <f>SectorParameters!E$11+(SectorParameters!E$12*NationalDataInterm!E47+SectorParameters!E$13*B5)</f>
        <v>111.74859873853859</v>
      </c>
      <c r="D5" s="34">
        <f>EXP(SectorParameters!B$11+SectorParameters!B$12*LN(NationalDataInterm!D47))</f>
        <v>155.96680615765143</v>
      </c>
      <c r="E5" s="34">
        <f>SectorParameters!H$3+(SectorParameters!H$4*NationalDataInterm!H47+SectorParameters!H$5*D4)</f>
        <v>150.94095174587724</v>
      </c>
      <c r="F5" s="34">
        <f>SectorParameters!H$11+SectorParameters!H$12*NationalDataInterm!L47</f>
        <v>66.53042050874264</v>
      </c>
      <c r="G5" s="34">
        <f>SectorParameters!B$3+SectorParameters!B$4*NationalDataInterm!F47</f>
        <v>402.2899018707578</v>
      </c>
      <c r="H5" s="34">
        <f>EXP(SectorParameters!E$3+SectorParameters!E$4*LN(G4)+SectorParameters!E$5*LN(NationalDataInterm!G47))</f>
        <v>87.0915703746114</v>
      </c>
      <c r="I5" s="34">
        <f>SectorParameters!H$18+(SectorParameters!H$19*NationalDataInterm!K47+SectorParameters!H$20*AN4)</f>
        <v>168.51445100769268</v>
      </c>
      <c r="J5" s="34">
        <f>SectorParameters!B$26+SectorParameters!B$27*NationalDataInterm!J47</f>
        <v>329.7982726263566</v>
      </c>
      <c r="K5" s="34">
        <f>SectorParameters!E$26+SectorParameters!E$27*NationalDataInterm!M47</f>
        <v>563.6176896201484</v>
      </c>
      <c r="L5" s="34">
        <f>SectorParameters!B$18+SectorParameters!B$19*NationalDataInterm!N47</f>
        <v>264.2524158417351</v>
      </c>
      <c r="N5" s="34">
        <f aca="true" t="shared" si="15" ref="N5:N32">ROUND(SUM(B5:L5),1)</f>
        <v>2367.5</v>
      </c>
      <c r="O5" s="34"/>
      <c r="P5">
        <f>AnnualFactors!J6</f>
        <v>333.653</v>
      </c>
      <c r="Q5" s="34">
        <f aca="true" t="shared" si="16" ref="Q5:Q32">ROUND((N5+P5),1)</f>
        <v>2701.2</v>
      </c>
      <c r="R5" s="34">
        <f>ROUND((AnnualFactors!G6*Q5),1)</f>
        <v>146.1</v>
      </c>
      <c r="S5" s="34">
        <f aca="true" t="shared" si="17" ref="S5:S32">Q5+R5</f>
        <v>2847.2999999999997</v>
      </c>
      <c r="T5" s="34">
        <f>ROUND(AnnualFactors!K6,1)</f>
        <v>79.9</v>
      </c>
      <c r="U5" s="34">
        <f aca="true" t="shared" si="18" ref="U5:U32">S5+T5</f>
        <v>2927.2</v>
      </c>
      <c r="V5" s="34"/>
      <c r="W5" s="34">
        <f>ROUND(AnnualFactors!B6*U5,1)</f>
        <v>175.6</v>
      </c>
      <c r="X5" s="34">
        <f aca="true" t="shared" si="19" ref="X5:X32">U5-W5</f>
        <v>2751.6</v>
      </c>
      <c r="Y5" s="60">
        <f>ROUND(AnnualFactors!F6*X5,1)</f>
        <v>170.6</v>
      </c>
      <c r="Z5" s="34">
        <f aca="true" t="shared" si="20" ref="Z5:Z32">X5-Y5</f>
        <v>2581</v>
      </c>
      <c r="AB5" s="95">
        <f>AnnualFactors!C6</f>
        <v>0.791997402308544</v>
      </c>
      <c r="AC5" s="34">
        <f aca="true" t="shared" si="21" ref="AC5:AC32">ROUND((Z5/AB5),1)</f>
        <v>3258.8</v>
      </c>
      <c r="AD5" s="8">
        <f>AnnualFactors!D6</f>
        <v>0.3236491954461127</v>
      </c>
      <c r="AE5" s="34">
        <f aca="true" t="shared" si="22" ref="AE5:AE32">ROUND(AC5*AD5,1)</f>
        <v>1054.7</v>
      </c>
      <c r="AF5" s="8">
        <f>AnnualFactors!E6</f>
        <v>0.12960205019094576</v>
      </c>
      <c r="AG5">
        <f aca="true" t="shared" si="23" ref="AG5:AG32">ROUND(AC5*AF5,1)</f>
        <v>422.3</v>
      </c>
      <c r="AH5" s="34">
        <f aca="true" t="shared" si="24" ref="AH5:AH32">AC5+AE5+AG5</f>
        <v>4735.8</v>
      </c>
      <c r="AI5">
        <f>ROUND(AnnualFactors!H6*AH5,1)</f>
        <v>95.2</v>
      </c>
      <c r="AJ5" s="34">
        <f aca="true" t="shared" si="25" ref="AJ5:AJ32">AH5-AI5</f>
        <v>4640.6</v>
      </c>
      <c r="AK5" s="9">
        <f>AnnualFactors!I6</f>
        <v>2.607</v>
      </c>
      <c r="AL5" s="34">
        <f aca="true" t="shared" si="26" ref="AL5:AL32">ROUND(AJ5/AK5,1)</f>
        <v>1780.1</v>
      </c>
      <c r="AN5" s="96">
        <f aca="true" t="shared" si="27" ref="AN5:AN32">ROUND(4544.9/AH$2*AH5,1)</f>
        <v>4590.8</v>
      </c>
      <c r="AO5" s="96">
        <f aca="true" t="shared" si="28" ref="AO5:AO32">ROUND(91.5/AI$2*AI5,1)</f>
        <v>92.5</v>
      </c>
      <c r="AP5" s="96">
        <f aca="true" t="shared" si="29" ref="AP5:AP32">AN5-AO5</f>
        <v>4498.3</v>
      </c>
      <c r="AQ5" s="34">
        <f aca="true" t="shared" si="30" ref="AQ5:AQ32">AP5/AK5</f>
        <v>1725.469888761028</v>
      </c>
      <c r="AS5" s="60">
        <f t="shared" si="0"/>
        <v>1022.4073567295917</v>
      </c>
      <c r="AT5" s="60">
        <f t="shared" si="1"/>
        <v>3159.0225600743274</v>
      </c>
      <c r="AU5" s="60">
        <f t="shared" si="2"/>
        <v>409.37008319608094</v>
      </c>
      <c r="AV5" s="115">
        <f t="shared" si="3"/>
        <v>0.06200029073993313</v>
      </c>
      <c r="AW5" s="118">
        <v>0.07080000000000002</v>
      </c>
      <c r="BA5" s="56">
        <v>2015</v>
      </c>
      <c r="BB5" s="60">
        <f>U17</f>
        <v>3599.5</v>
      </c>
      <c r="BC5" s="56">
        <v>3582.1</v>
      </c>
      <c r="BD5" s="56"/>
      <c r="BE5" s="60">
        <f>AN17</f>
        <v>5561.4</v>
      </c>
      <c r="BF5" s="56">
        <v>5605.6</v>
      </c>
      <c r="BG5" s="56"/>
      <c r="BH5" s="60">
        <f>AQ17</f>
        <v>2087.892720306513</v>
      </c>
      <c r="BI5" s="56">
        <v>2138.1</v>
      </c>
      <c r="BJ5" s="56"/>
      <c r="BK5" s="56">
        <f t="shared" si="4"/>
        <v>1.5450479233226837</v>
      </c>
      <c r="BL5" s="56">
        <f t="shared" si="5"/>
        <v>1.564892102398035</v>
      </c>
      <c r="BN5">
        <f t="shared" si="12"/>
        <v>0.5251427018211483</v>
      </c>
      <c r="BO5">
        <f t="shared" si="12"/>
        <v>0.6963985190171654</v>
      </c>
      <c r="BQ5" s="34">
        <f t="shared" si="6"/>
        <v>193.20000000000027</v>
      </c>
      <c r="BR5" s="34">
        <f t="shared" si="6"/>
        <v>206.9000000000001</v>
      </c>
      <c r="BT5" s="34">
        <f t="shared" si="7"/>
        <v>367.89999999999964</v>
      </c>
      <c r="BU5" s="34">
        <f t="shared" si="7"/>
        <v>297.10000000000036</v>
      </c>
      <c r="BW5" s="34">
        <f t="shared" si="8"/>
        <v>138.12260536398458</v>
      </c>
      <c r="BX5" s="34">
        <f t="shared" si="8"/>
        <v>126</v>
      </c>
      <c r="BY5" s="34"/>
      <c r="BZ5" t="s">
        <v>316</v>
      </c>
      <c r="CA5" s="34">
        <f>BH8-BH2</f>
        <v>792.6215061782007</v>
      </c>
      <c r="CB5" s="34">
        <f>BI8-BI2</f>
        <v>640.8999999999999</v>
      </c>
      <c r="CC5" s="34"/>
      <c r="CD5" t="s">
        <v>320</v>
      </c>
      <c r="CE5">
        <f>CA5/CA3</f>
        <v>0.6901362700724429</v>
      </c>
      <c r="CF5">
        <f>CB5/CB3</f>
        <v>0.49002217294900224</v>
      </c>
      <c r="CH5" s="115">
        <f t="shared" si="9"/>
        <v>0.3236491954461127</v>
      </c>
      <c r="CI5" s="8">
        <v>0.20194</v>
      </c>
      <c r="CL5" s="115">
        <f t="shared" si="10"/>
        <v>0.12960205019094576</v>
      </c>
      <c r="CM5" s="119">
        <v>0.09192</v>
      </c>
      <c r="CO5" s="120">
        <f t="shared" si="11"/>
        <v>0.791997402308544</v>
      </c>
      <c r="CP5" s="8">
        <v>0.788</v>
      </c>
      <c r="CU5" s="60">
        <f aca="true" t="shared" si="31" ref="CU5:CU32">U5</f>
        <v>2927.2</v>
      </c>
      <c r="CV5" s="60">
        <f>CalculationsLow!U5</f>
        <v>2912.2000000000003</v>
      </c>
      <c r="CW5" s="60">
        <f>CalculationsHigh!U5</f>
        <v>2979</v>
      </c>
      <c r="CY5" s="60">
        <f t="shared" si="13"/>
        <v>4590.8</v>
      </c>
      <c r="CZ5" s="60">
        <f>CalculationsLow!AN5</f>
        <v>4500.5</v>
      </c>
      <c r="DA5" s="60">
        <f>CalculationsHigh!AN5</f>
        <v>4717.4</v>
      </c>
      <c r="DC5" s="60">
        <f t="shared" si="14"/>
        <v>1725.469888761028</v>
      </c>
      <c r="DD5" s="60">
        <f>CalculationsLow!AQ5</f>
        <v>1691.561181434599</v>
      </c>
      <c r="DE5" s="60">
        <f>CalculationsHigh!AQ5</f>
        <v>1773.1108553893362</v>
      </c>
    </row>
    <row r="6" spans="1:109" ht="12.75">
      <c r="A6">
        <v>2004</v>
      </c>
      <c r="B6" s="34">
        <f>SectorParameters!E$18+(SectorParameters!E$19*LN(A6))+SectorParameters!E$20*LN(NationalDataInterm!C48)</f>
        <v>66.19405152516845</v>
      </c>
      <c r="C6" s="34">
        <f>SectorParameters!E$11+(SectorParameters!E$12*NationalDataInterm!E48+SectorParameters!E$13*B6)</f>
        <v>114.37405506111125</v>
      </c>
      <c r="D6" s="34">
        <f>EXP(SectorParameters!B$11+SectorParameters!B$12*LN(NationalDataInterm!D48))</f>
        <v>159.2644715751929</v>
      </c>
      <c r="E6" s="34">
        <f>SectorParameters!H$3+(SectorParameters!H$4*NationalDataInterm!H48+SectorParameters!H$5*D5)</f>
        <v>152.46726978786558</v>
      </c>
      <c r="F6" s="34">
        <f>SectorParameters!H$11+SectorParameters!H$12*NationalDataInterm!L48</f>
        <v>67.25428799746963</v>
      </c>
      <c r="G6" s="34">
        <f>SectorParameters!B$3+SectorParameters!B$4*NationalDataInterm!F48</f>
        <v>408.5117638780109</v>
      </c>
      <c r="H6" s="34">
        <f>EXP(SectorParameters!E$3+SectorParameters!E$4*LN(G5)+SectorParameters!E$5*LN(NationalDataInterm!G48))</f>
        <v>88.81759446819832</v>
      </c>
      <c r="I6" s="34">
        <f>SectorParameters!H$18+(SectorParameters!H$19*NationalDataInterm!K48+SectorParameters!H$20*AN5)</f>
        <v>173.37137526687889</v>
      </c>
      <c r="J6" s="34">
        <f>SectorParameters!B$26+SectorParameters!B$27*NationalDataInterm!J48</f>
        <v>349.18604295911837</v>
      </c>
      <c r="K6" s="34">
        <f>SectorParameters!E$26+SectorParameters!E$27*NationalDataInterm!M48</f>
        <v>579.3274328920862</v>
      </c>
      <c r="L6" s="34">
        <f>SectorParameters!B$18+SectorParameters!B$19*NationalDataInterm!N48</f>
        <v>266.2206433723744</v>
      </c>
      <c r="N6" s="34">
        <f t="shared" si="15"/>
        <v>2425</v>
      </c>
      <c r="O6" s="34"/>
      <c r="P6">
        <f>AnnualFactors!J7</f>
        <v>333.595</v>
      </c>
      <c r="Q6" s="34">
        <f t="shared" si="16"/>
        <v>2758.6</v>
      </c>
      <c r="R6" s="34">
        <f>ROUND((AnnualFactors!G7*Q6),1)</f>
        <v>149.2</v>
      </c>
      <c r="S6" s="34">
        <f t="shared" si="17"/>
        <v>2907.7999999999997</v>
      </c>
      <c r="T6" s="34">
        <f>ROUND(AnnualFactors!K7,1)</f>
        <v>80.2</v>
      </c>
      <c r="U6" s="34">
        <f t="shared" si="18"/>
        <v>2987.9999999999995</v>
      </c>
      <c r="V6" s="34"/>
      <c r="W6" s="34">
        <f>ROUND(AnnualFactors!B7*U6,1)</f>
        <v>179.3</v>
      </c>
      <c r="X6" s="34">
        <f t="shared" si="19"/>
        <v>2808.6999999999994</v>
      </c>
      <c r="Y6" s="60">
        <f>ROUND(AnnualFactors!F7*X6,1)</f>
        <v>174.9</v>
      </c>
      <c r="Z6" s="34">
        <f t="shared" si="20"/>
        <v>2633.7999999999993</v>
      </c>
      <c r="AB6" s="95">
        <f>AnnualFactors!C7</f>
        <v>0.7944449193617381</v>
      </c>
      <c r="AC6" s="34">
        <f t="shared" si="21"/>
        <v>3315.3</v>
      </c>
      <c r="AD6" s="8">
        <f>AnnualFactors!D7</f>
        <v>0.321371146747906</v>
      </c>
      <c r="AE6" s="34">
        <f t="shared" si="22"/>
        <v>1065.4</v>
      </c>
      <c r="AF6" s="8">
        <f>AnnualFactors!E7</f>
        <v>0.129309099596336</v>
      </c>
      <c r="AG6">
        <f t="shared" si="23"/>
        <v>428.7</v>
      </c>
      <c r="AH6" s="34">
        <f t="shared" si="24"/>
        <v>4809.400000000001</v>
      </c>
      <c r="AI6">
        <f>ROUND(AnnualFactors!H7*AH6,1)</f>
        <v>96.7</v>
      </c>
      <c r="AJ6" s="34">
        <f t="shared" si="25"/>
        <v>4712.700000000001</v>
      </c>
      <c r="AK6" s="9">
        <f>AnnualFactors!I7</f>
        <v>2.607</v>
      </c>
      <c r="AL6" s="34">
        <f t="shared" si="26"/>
        <v>1807.7</v>
      </c>
      <c r="AN6" s="96">
        <f t="shared" si="27"/>
        <v>4662.2</v>
      </c>
      <c r="AO6" s="96">
        <f t="shared" si="28"/>
        <v>93.9</v>
      </c>
      <c r="AP6" s="96">
        <f t="shared" si="29"/>
        <v>4568.3</v>
      </c>
      <c r="AQ6" s="34">
        <f t="shared" si="30"/>
        <v>1752.3206751054852</v>
      </c>
      <c r="AS6" s="60">
        <f t="shared" si="0"/>
        <v>1032.791591466711</v>
      </c>
      <c r="AT6" s="60">
        <f t="shared" si="1"/>
        <v>3213.829513036969</v>
      </c>
      <c r="AU6" s="60">
        <f t="shared" si="2"/>
        <v>415.5788954963196</v>
      </c>
      <c r="AV6" s="115">
        <f t="shared" si="3"/>
        <v>0.06227080143838788</v>
      </c>
      <c r="AW6" s="118">
        <v>0.07140000000000002</v>
      </c>
      <c r="BA6" s="56">
        <v>2020</v>
      </c>
      <c r="BB6" s="60">
        <f>U22</f>
        <v>3765.7</v>
      </c>
      <c r="BC6" s="56">
        <v>3786.7</v>
      </c>
      <c r="BD6" s="56"/>
      <c r="BE6" s="60">
        <f>AN22</f>
        <v>6000.6</v>
      </c>
      <c r="BF6" s="56">
        <v>5822.9</v>
      </c>
      <c r="BG6" s="56"/>
      <c r="BH6" s="60">
        <f>AQ22</f>
        <v>2261.4615384615386</v>
      </c>
      <c r="BI6" s="56">
        <v>2230.3</v>
      </c>
      <c r="BJ6" s="56"/>
      <c r="BK6" s="56">
        <f t="shared" si="4"/>
        <v>1.5934885944180366</v>
      </c>
      <c r="BL6" s="56">
        <f t="shared" si="5"/>
        <v>1.537724139752291</v>
      </c>
      <c r="BN6">
        <f t="shared" si="12"/>
        <v>0.37841530054644706</v>
      </c>
      <c r="BO6">
        <f t="shared" si="12"/>
        <v>0.9415554532903847</v>
      </c>
      <c r="BQ6" s="34">
        <f t="shared" si="6"/>
        <v>166.19999999999982</v>
      </c>
      <c r="BR6" s="34">
        <f t="shared" si="6"/>
        <v>204.5999999999999</v>
      </c>
      <c r="BT6" s="34">
        <f t="shared" si="7"/>
        <v>439.2000000000007</v>
      </c>
      <c r="BU6" s="34">
        <f t="shared" si="7"/>
        <v>217.29999999999927</v>
      </c>
      <c r="BW6" s="34">
        <f t="shared" si="8"/>
        <v>173.56881815502538</v>
      </c>
      <c r="BX6" s="34">
        <f t="shared" si="8"/>
        <v>92.20000000000027</v>
      </c>
      <c r="BY6" s="34"/>
      <c r="CH6" s="115">
        <f t="shared" si="9"/>
        <v>0.321371146747906</v>
      </c>
      <c r="CI6" s="8">
        <v>0.19992000000000001</v>
      </c>
      <c r="CL6" s="115">
        <f t="shared" si="10"/>
        <v>0.129309099596336</v>
      </c>
      <c r="CM6" s="119">
        <v>0.09356</v>
      </c>
      <c r="CO6" s="120">
        <f t="shared" si="11"/>
        <v>0.7944449193617381</v>
      </c>
      <c r="CP6" s="8">
        <v>0.794</v>
      </c>
      <c r="CU6" s="60">
        <f t="shared" si="31"/>
        <v>2987.9999999999995</v>
      </c>
      <c r="CV6" s="60">
        <f>CalculationsLow!U6</f>
        <v>2962.2999999999997</v>
      </c>
      <c r="CW6" s="60">
        <f>CalculationsHigh!U6</f>
        <v>3053.7</v>
      </c>
      <c r="CY6" s="60">
        <f t="shared" si="13"/>
        <v>4662.2</v>
      </c>
      <c r="CZ6" s="60">
        <f>CalculationsLow!AN6</f>
        <v>4532</v>
      </c>
      <c r="DA6" s="60">
        <f>CalculationsHigh!AN6</f>
        <v>4835.1</v>
      </c>
      <c r="DC6" s="60">
        <f t="shared" si="14"/>
        <v>1752.3206751054852</v>
      </c>
      <c r="DD6" s="60">
        <f>CalculationsLow!AQ6</f>
        <v>1703.37552742616</v>
      </c>
      <c r="DE6" s="60">
        <f>CalculationsHigh!AQ6</f>
        <v>1817.337936325278</v>
      </c>
    </row>
    <row r="7" spans="1:109" s="98" customFormat="1" ht="12.75">
      <c r="A7" s="98">
        <v>2005</v>
      </c>
      <c r="B7" s="100">
        <f>SectorParameters!E$18+(SectorParameters!E$19*LN(A7))+SectorParameters!E$20*LN(NationalDataInterm!C49)</f>
        <v>65.5961574791944</v>
      </c>
      <c r="C7" s="100">
        <f>SectorParameters!E$11+(SectorParameters!E$12*NationalDataInterm!E49+SectorParameters!E$13*B7)</f>
        <v>117.25628598944883</v>
      </c>
      <c r="D7" s="100">
        <f>EXP(SectorParameters!B$11+SectorParameters!B$12*LN(NationalDataInterm!D49))</f>
        <v>162.70882778381892</v>
      </c>
      <c r="E7" s="100">
        <f>SectorParameters!H$3+(SectorParameters!H$4*NationalDataInterm!H49+SectorParameters!H$5*D6)</f>
        <v>154.05472519928475</v>
      </c>
      <c r="F7" s="100">
        <f>SectorParameters!H$11+SectorParameters!H$12*NationalDataInterm!L49</f>
        <v>67.95119194077125</v>
      </c>
      <c r="G7" s="100">
        <f>SectorParameters!B$3+SectorParameters!B$4*NationalDataInterm!F49</f>
        <v>414.93857741897915</v>
      </c>
      <c r="H7" s="100">
        <f>EXP(SectorParameters!E$3+SectorParameters!E$4*LN(G6)+SectorParameters!E$5*LN(NationalDataInterm!G49))</f>
        <v>90.69927889495558</v>
      </c>
      <c r="I7" s="100">
        <f>SectorParameters!H$18+(SectorParameters!H$19*NationalDataInterm!K49+SectorParameters!H$20*AN6)</f>
        <v>178.87933691751687</v>
      </c>
      <c r="J7" s="100">
        <f>SectorParameters!B$26+SectorParameters!B$27*NationalDataInterm!J49</f>
        <v>369.4285162161362</v>
      </c>
      <c r="K7" s="100">
        <f>SectorParameters!E$26+SectorParameters!E$27*NationalDataInterm!M49</f>
        <v>595.736844618724</v>
      </c>
      <c r="L7" s="100">
        <f>SectorParameters!B$18+SectorParameters!B$19*NationalDataInterm!N49</f>
        <v>268.18204152226895</v>
      </c>
      <c r="N7" s="100">
        <f t="shared" si="15"/>
        <v>2485.4</v>
      </c>
      <c r="O7" s="100"/>
      <c r="P7" s="98">
        <f>AnnualFactors!J8</f>
        <v>333.311</v>
      </c>
      <c r="Q7" s="100">
        <f t="shared" si="16"/>
        <v>2818.7</v>
      </c>
      <c r="R7" s="100">
        <f>ROUND((AnnualFactors!G8*Q7),1)</f>
        <v>152.5</v>
      </c>
      <c r="S7" s="100">
        <f t="shared" si="17"/>
        <v>2971.2</v>
      </c>
      <c r="T7" s="100">
        <f>ROUND(AnnualFactors!K8,1)</f>
        <v>80.6</v>
      </c>
      <c r="U7" s="100">
        <f t="shared" si="18"/>
        <v>3051.7999999999997</v>
      </c>
      <c r="V7" s="100"/>
      <c r="W7" s="100">
        <f>ROUND(AnnualFactors!B8*U7,1)</f>
        <v>183.1</v>
      </c>
      <c r="X7" s="100">
        <f t="shared" si="19"/>
        <v>2868.7</v>
      </c>
      <c r="Y7" s="100">
        <f>ROUND(AnnualFactors!F8*X7,1)</f>
        <v>179.4</v>
      </c>
      <c r="Z7" s="100">
        <f t="shared" si="20"/>
        <v>2689.2999999999997</v>
      </c>
      <c r="AB7" s="101">
        <f>AnnualFactors!C8</f>
        <v>0.7969</v>
      </c>
      <c r="AC7" s="100">
        <f t="shared" si="21"/>
        <v>3374.7</v>
      </c>
      <c r="AD7" s="102">
        <f>AnnualFactors!D8</f>
        <v>0.3191091324040077</v>
      </c>
      <c r="AE7" s="100">
        <f t="shared" si="22"/>
        <v>1076.9</v>
      </c>
      <c r="AF7" s="102">
        <f>AnnualFactors!E8</f>
        <v>0.12901681118300154</v>
      </c>
      <c r="AG7" s="98">
        <f t="shared" si="23"/>
        <v>435.4</v>
      </c>
      <c r="AH7" s="100">
        <f t="shared" si="24"/>
        <v>4887</v>
      </c>
      <c r="AI7" s="98">
        <f>ROUND(AnnualFactors!H8*AH7,1)</f>
        <v>98.2</v>
      </c>
      <c r="AJ7" s="100">
        <f t="shared" si="25"/>
        <v>4788.8</v>
      </c>
      <c r="AK7" s="103">
        <f>AnnualFactors!I8</f>
        <v>2.62</v>
      </c>
      <c r="AL7" s="100">
        <f t="shared" si="26"/>
        <v>1827.8</v>
      </c>
      <c r="AN7" s="104">
        <f t="shared" si="27"/>
        <v>4737.4</v>
      </c>
      <c r="AO7" s="104">
        <f t="shared" si="28"/>
        <v>95.4</v>
      </c>
      <c r="AP7" s="104">
        <f t="shared" si="29"/>
        <v>4642</v>
      </c>
      <c r="AQ7" s="100">
        <f t="shared" si="30"/>
        <v>1771.7557251908397</v>
      </c>
      <c r="AS7" s="100">
        <f t="shared" si="0"/>
        <v>1043.9341231839574</v>
      </c>
      <c r="AT7" s="100">
        <f t="shared" si="1"/>
        <v>3271.3942664211168</v>
      </c>
      <c r="AU7" s="100">
        <f t="shared" si="2"/>
        <v>422.07161039492524</v>
      </c>
      <c r="AV7" s="115">
        <f t="shared" si="3"/>
        <v>0.062537037682574</v>
      </c>
      <c r="AW7" s="118">
        <v>0.072</v>
      </c>
      <c r="BA7" s="56">
        <v>2025</v>
      </c>
      <c r="BB7" s="60">
        <f>U27</f>
        <v>3924.9</v>
      </c>
      <c r="BC7" s="56">
        <v>3990.6</v>
      </c>
      <c r="BD7" s="56"/>
      <c r="BE7" s="60">
        <f>AN27</f>
        <v>6410.8</v>
      </c>
      <c r="BF7" s="56">
        <v>5982.5</v>
      </c>
      <c r="BG7" s="56"/>
      <c r="BH7" s="60">
        <f>AQ27</f>
        <v>2416.0384615384614</v>
      </c>
      <c r="BI7" s="56">
        <v>2302.6</v>
      </c>
      <c r="BJ7" s="56"/>
      <c r="BK7" s="56">
        <f t="shared" si="4"/>
        <v>1.6333664551963107</v>
      </c>
      <c r="BL7" s="56">
        <f t="shared" si="5"/>
        <v>1.4991479977948179</v>
      </c>
      <c r="BN7">
        <f t="shared" si="12"/>
        <v>0.38810336421258007</v>
      </c>
      <c r="BO7">
        <f t="shared" si="12"/>
        <v>1.277568922305762</v>
      </c>
      <c r="BQ7" s="34">
        <f t="shared" si="6"/>
        <v>159.20000000000027</v>
      </c>
      <c r="BR7" s="34">
        <f t="shared" si="6"/>
        <v>203.9000000000001</v>
      </c>
      <c r="BT7" s="34">
        <f t="shared" si="7"/>
        <v>410.1999999999998</v>
      </c>
      <c r="BU7" s="34">
        <f t="shared" si="7"/>
        <v>159.60000000000036</v>
      </c>
      <c r="BW7" s="34">
        <f t="shared" si="8"/>
        <v>154.57692307692287</v>
      </c>
      <c r="BX7" s="34">
        <f t="shared" si="8"/>
        <v>72.29999999999973</v>
      </c>
      <c r="BY7" s="34"/>
      <c r="CH7" s="115">
        <f t="shared" si="9"/>
        <v>0.3191091324040077</v>
      </c>
      <c r="CI7" s="102">
        <v>0.1979</v>
      </c>
      <c r="CL7" s="115">
        <f t="shared" si="10"/>
        <v>0.12901681118300154</v>
      </c>
      <c r="CM7" s="119">
        <v>0.0952</v>
      </c>
      <c r="CO7" s="120">
        <f t="shared" si="11"/>
        <v>0.7969</v>
      </c>
      <c r="CP7" s="102">
        <v>0.8</v>
      </c>
      <c r="CU7" s="60">
        <f t="shared" si="31"/>
        <v>3051.7999999999997</v>
      </c>
      <c r="CV7" s="60">
        <f>CalculationsLow!U7</f>
        <v>3015.9999999999995</v>
      </c>
      <c r="CW7" s="60">
        <f>CalculationsHigh!U7</f>
        <v>3131.2999999999997</v>
      </c>
      <c r="CY7" s="60">
        <f t="shared" si="13"/>
        <v>4737.4</v>
      </c>
      <c r="CZ7" s="60">
        <f>CalculationsLow!AN7</f>
        <v>4568</v>
      </c>
      <c r="DA7" s="60">
        <f>CalculationsHigh!AN7</f>
        <v>4957.3</v>
      </c>
      <c r="DC7" s="60">
        <f t="shared" si="14"/>
        <v>1771.7557251908397</v>
      </c>
      <c r="DD7" s="60">
        <f>CalculationsLow!AQ7</f>
        <v>1708.3969465648854</v>
      </c>
      <c r="DE7" s="60">
        <f>CalculationsHigh!AQ7</f>
        <v>1846.958174904943</v>
      </c>
    </row>
    <row r="8" spans="1:109" ht="12.75">
      <c r="A8">
        <v>2006</v>
      </c>
      <c r="B8" s="34">
        <f>SectorParameters!E$18+(SectorParameters!E$19*LN(A8))+SectorParameters!E$20*LN(NationalDataInterm!C50)</f>
        <v>64.98868199196909</v>
      </c>
      <c r="C8" s="34">
        <f>SectorParameters!E$11+(SectorParameters!E$12*NationalDataInterm!E50+SectorParameters!E$13*B8)</f>
        <v>120.16685092410484</v>
      </c>
      <c r="D8" s="34">
        <f>EXP(SectorParameters!B$11+SectorParameters!B$12*LN(NationalDataInterm!D50))</f>
        <v>166.19197972418883</v>
      </c>
      <c r="E8" s="34">
        <f>SectorParameters!H$3+(SectorParameters!H$4*NationalDataInterm!H50+SectorParameters!H$5*D7)</f>
        <v>155.6680616603567</v>
      </c>
      <c r="F8" s="34">
        <f>SectorParameters!H$11+SectorParameters!H$12*NationalDataInterm!L50</f>
        <v>68.62528057640526</v>
      </c>
      <c r="G8" s="34">
        <f>SectorParameters!B$3+SectorParameters!B$4*NationalDataInterm!F50</f>
        <v>421.4353744104843</v>
      </c>
      <c r="H8" s="34">
        <f>EXP(SectorParameters!E$3+SectorParameters!E$4*LN(G7)+SectorParameters!E$5*LN(NationalDataInterm!G50))</f>
        <v>92.63022683620629</v>
      </c>
      <c r="I8" s="34">
        <f>SectorParameters!H$18+(SectorParameters!H$19*NationalDataInterm!K50+SectorParameters!H$20*AN7)</f>
        <v>184.46590731119022</v>
      </c>
      <c r="J8" s="34">
        <f>SectorParameters!B$26+SectorParameters!B$27*NationalDataInterm!J50</f>
        <v>390.58785261008325</v>
      </c>
      <c r="K8" s="34">
        <f>SectorParameters!E$26+SectorParameters!E$27*NationalDataInterm!M50</f>
        <v>612.9188069307598</v>
      </c>
      <c r="L8" s="34">
        <f>SectorParameters!B$18+SectorParameters!B$19*NationalDataInterm!N50</f>
        <v>270.157098433653</v>
      </c>
      <c r="N8" s="34">
        <f t="shared" si="15"/>
        <v>2547.8</v>
      </c>
      <c r="O8" s="34"/>
      <c r="P8">
        <f>AnnualFactors!J9</f>
        <v>333.08099999999996</v>
      </c>
      <c r="Q8" s="34">
        <f t="shared" si="16"/>
        <v>2880.9</v>
      </c>
      <c r="R8" s="34">
        <f>ROUND((AnnualFactors!G9*Q8),1)</f>
        <v>155.9</v>
      </c>
      <c r="S8" s="34">
        <f t="shared" si="17"/>
        <v>3036.8</v>
      </c>
      <c r="T8" s="34">
        <f>ROUND(AnnualFactors!K9,1)</f>
        <v>80.9</v>
      </c>
      <c r="U8" s="34">
        <f t="shared" si="18"/>
        <v>3117.7000000000003</v>
      </c>
      <c r="V8" s="34"/>
      <c r="W8" s="34">
        <f>ROUND(AnnualFactors!B9*U8,1)</f>
        <v>187.1</v>
      </c>
      <c r="X8" s="34">
        <f t="shared" si="19"/>
        <v>2930.6000000000004</v>
      </c>
      <c r="Y8" s="60">
        <f>ROUND(AnnualFactors!F9*X8,1)</f>
        <v>184.1</v>
      </c>
      <c r="Z8" s="34">
        <f t="shared" si="20"/>
        <v>2746.5000000000005</v>
      </c>
      <c r="AB8" s="95">
        <f>AnnualFactors!C9</f>
        <v>0.7993054345412528</v>
      </c>
      <c r="AC8" s="34">
        <f t="shared" si="21"/>
        <v>3436.1</v>
      </c>
      <c r="AD8" s="8">
        <f>AnnualFactors!D9</f>
        <v>0.31746211703253474</v>
      </c>
      <c r="AE8" s="34">
        <f t="shared" si="22"/>
        <v>1090.8</v>
      </c>
      <c r="AF8" s="8">
        <f>AnnualFactors!E9</f>
        <v>0.13021072580539442</v>
      </c>
      <c r="AG8">
        <f t="shared" si="23"/>
        <v>447.4</v>
      </c>
      <c r="AH8" s="34">
        <f t="shared" si="24"/>
        <v>4974.299999999999</v>
      </c>
      <c r="AI8">
        <f>ROUND(AnnualFactors!H9*AH8,1)</f>
        <v>100</v>
      </c>
      <c r="AJ8" s="34">
        <f t="shared" si="25"/>
        <v>4874.299999999999</v>
      </c>
      <c r="AK8" s="9">
        <f>AnnualFactors!I9</f>
        <v>2.6179969395535494</v>
      </c>
      <c r="AL8" s="34">
        <f t="shared" si="26"/>
        <v>1861.8</v>
      </c>
      <c r="AN8" s="96">
        <f t="shared" si="27"/>
        <v>4822</v>
      </c>
      <c r="AO8" s="96">
        <f t="shared" si="28"/>
        <v>97.1</v>
      </c>
      <c r="AP8" s="96">
        <f t="shared" si="29"/>
        <v>4724.9</v>
      </c>
      <c r="AQ8" s="34">
        <f t="shared" si="30"/>
        <v>1804.7767469146634</v>
      </c>
      <c r="AS8" s="60">
        <f t="shared" si="0"/>
        <v>1057.4025692057176</v>
      </c>
      <c r="AT8" s="60">
        <f t="shared" si="1"/>
        <v>3330.8956436081467</v>
      </c>
      <c r="AU8" s="60">
        <f t="shared" si="2"/>
        <v>433.70178718613676</v>
      </c>
      <c r="AV8" s="115">
        <f t="shared" si="3"/>
        <v>0.06281990036170067</v>
      </c>
      <c r="AW8" s="118">
        <v>0.0726</v>
      </c>
      <c r="BA8" s="56">
        <v>2030</v>
      </c>
      <c r="BB8" s="60">
        <f>U32</f>
        <v>4001.9</v>
      </c>
      <c r="BC8" s="56">
        <v>4131.7</v>
      </c>
      <c r="BD8" s="56"/>
      <c r="BE8" s="60">
        <f>AN32</f>
        <v>6634.8</v>
      </c>
      <c r="BF8" s="56">
        <v>6101.9</v>
      </c>
      <c r="BG8" s="56"/>
      <c r="BH8" s="60">
        <f>AQ32</f>
        <v>2500.423076923077</v>
      </c>
      <c r="BI8" s="56">
        <v>2355.7</v>
      </c>
      <c r="BJ8" s="56"/>
      <c r="BK8" s="56">
        <f t="shared" si="4"/>
        <v>1.657912491566506</v>
      </c>
      <c r="BL8" s="56">
        <f t="shared" si="5"/>
        <v>1.4768497228743616</v>
      </c>
      <c r="BN8">
        <f t="shared" si="12"/>
        <v>0.34375</v>
      </c>
      <c r="BO8">
        <f t="shared" si="12"/>
        <v>1.1817420435510917</v>
      </c>
      <c r="BQ8" s="34">
        <f t="shared" si="6"/>
        <v>77</v>
      </c>
      <c r="BR8" s="34">
        <f t="shared" si="6"/>
        <v>141.0999999999999</v>
      </c>
      <c r="BT8" s="34">
        <f t="shared" si="7"/>
        <v>224</v>
      </c>
      <c r="BU8" s="34">
        <f t="shared" si="7"/>
        <v>119.39999999999964</v>
      </c>
      <c r="BW8" s="34">
        <f t="shared" si="8"/>
        <v>84.3846153846157</v>
      </c>
      <c r="BX8" s="34">
        <f t="shared" si="8"/>
        <v>53.09999999999991</v>
      </c>
      <c r="BY8" s="34"/>
      <c r="CH8" s="115">
        <f t="shared" si="9"/>
        <v>0.31746211703253474</v>
      </c>
      <c r="CI8" s="8">
        <v>0.19646</v>
      </c>
      <c r="CL8" s="115">
        <f t="shared" si="10"/>
        <v>0.13021072580539442</v>
      </c>
      <c r="CM8" s="119">
        <v>0.09678</v>
      </c>
      <c r="CO8" s="120">
        <f t="shared" si="11"/>
        <v>0.7993054345412528</v>
      </c>
      <c r="CP8" s="8">
        <v>0.8</v>
      </c>
      <c r="CU8" s="60">
        <f t="shared" si="31"/>
        <v>3117.7000000000003</v>
      </c>
      <c r="CV8" s="60">
        <f>CalculationsLow!U8</f>
        <v>3070.9</v>
      </c>
      <c r="CW8" s="60">
        <f>CalculationsHigh!U8</f>
        <v>3212</v>
      </c>
      <c r="CY8" s="60">
        <f t="shared" si="13"/>
        <v>4822</v>
      </c>
      <c r="CZ8" s="60">
        <f>CalculationsLow!AN8</f>
        <v>4633.6</v>
      </c>
      <c r="DA8" s="60">
        <f>CalculationsHigh!AN8</f>
        <v>5067.3</v>
      </c>
      <c r="DC8" s="60">
        <f t="shared" si="14"/>
        <v>1804.7767469146634</v>
      </c>
      <c r="DD8" s="60">
        <f>CalculationsLow!AQ8</f>
        <v>1735.520372631343</v>
      </c>
      <c r="DE8" s="60">
        <f>CalculationsHigh!AQ8</f>
        <v>1888.0608365019013</v>
      </c>
    </row>
    <row r="9" spans="1:109" ht="12.75">
      <c r="A9">
        <v>2007</v>
      </c>
      <c r="B9" s="34">
        <f>SectorParameters!E$18+(SectorParameters!E$19*LN(A9))+SectorParameters!E$20*LN(NationalDataInterm!C51)</f>
        <v>64.39135723710285</v>
      </c>
      <c r="C9" s="34">
        <f>SectorParameters!E$11+(SectorParameters!E$12*NationalDataInterm!E51+SectorParameters!E$13*B9)</f>
        <v>123.11660653810017</v>
      </c>
      <c r="D9" s="34">
        <f>EXP(SectorParameters!B$11+SectorParameters!B$12*LN(NationalDataInterm!D51))</f>
        <v>169.71115350308818</v>
      </c>
      <c r="E9" s="34">
        <f>SectorParameters!H$3+(SectorParameters!H$4*NationalDataInterm!H51+SectorParameters!H$5*D8)</f>
        <v>157.28950193587178</v>
      </c>
      <c r="F9" s="34">
        <f>SectorParameters!H$11+SectorParameters!H$12*NationalDataInterm!L51</f>
        <v>69.27655390437167</v>
      </c>
      <c r="G9" s="34">
        <f>SectorParameters!B$3+SectorParameters!B$4*NationalDataInterm!F51</f>
        <v>428.00215485252625</v>
      </c>
      <c r="H9" s="34">
        <f>EXP(SectorParameters!E$3+SectorParameters!E$4*LN(G8)+SectorParameters!E$5*LN(NationalDataInterm!G51))</f>
        <v>94.58976171778738</v>
      </c>
      <c r="I9" s="34">
        <f>SectorParameters!H$18+(SectorParameters!H$19*NationalDataInterm!K51+SectorParameters!H$20*AN8)</f>
        <v>190.3968104906004</v>
      </c>
      <c r="J9" s="34">
        <f>SectorParameters!B$26+SectorParameters!B$27*NationalDataInterm!J51</f>
        <v>412.70445627919713</v>
      </c>
      <c r="K9" s="34">
        <f>SectorParameters!E$26+SectorParameters!E$27*NationalDataInterm!M51</f>
        <v>630.8223023367052</v>
      </c>
      <c r="L9" s="34">
        <f>SectorParameters!B$18+SectorParameters!B$19*NationalDataInterm!N51</f>
        <v>272.14581410652653</v>
      </c>
      <c r="N9" s="34">
        <f t="shared" si="15"/>
        <v>2612.4</v>
      </c>
      <c r="O9" s="34"/>
      <c r="P9">
        <f>AnnualFactors!J10</f>
        <v>332.88699999999994</v>
      </c>
      <c r="Q9" s="34">
        <f t="shared" si="16"/>
        <v>2945.3</v>
      </c>
      <c r="R9" s="34">
        <f>ROUND((AnnualFactors!G10*Q9),1)</f>
        <v>159.3</v>
      </c>
      <c r="S9" s="34">
        <f t="shared" si="17"/>
        <v>3104.6000000000004</v>
      </c>
      <c r="T9" s="34">
        <f>ROUND(AnnualFactors!K10,1)</f>
        <v>81.2</v>
      </c>
      <c r="U9" s="34">
        <f t="shared" si="18"/>
        <v>3185.8</v>
      </c>
      <c r="V9" s="34"/>
      <c r="W9" s="34">
        <f>ROUND(AnnualFactors!B10*U9,1)</f>
        <v>191.1</v>
      </c>
      <c r="X9" s="34">
        <f t="shared" si="19"/>
        <v>2994.7000000000003</v>
      </c>
      <c r="Y9" s="60">
        <f>ROUND(AnnualFactors!F10*X9,1)</f>
        <v>188.9</v>
      </c>
      <c r="Z9" s="34">
        <f t="shared" si="20"/>
        <v>2805.8</v>
      </c>
      <c r="AB9" s="95">
        <f>AnnualFactors!C10</f>
        <v>0.8017181298621922</v>
      </c>
      <c r="AC9" s="34">
        <f t="shared" si="21"/>
        <v>3499.7</v>
      </c>
      <c r="AD9" s="8">
        <f>AnnualFactors!D10</f>
        <v>0.31582360238811225</v>
      </c>
      <c r="AE9" s="34">
        <f t="shared" si="22"/>
        <v>1105.3</v>
      </c>
      <c r="AF9" s="8">
        <f>AnnualFactors!E10</f>
        <v>0.1314156888494038</v>
      </c>
      <c r="AG9">
        <f t="shared" si="23"/>
        <v>459.9</v>
      </c>
      <c r="AH9" s="34">
        <f t="shared" si="24"/>
        <v>5064.9</v>
      </c>
      <c r="AI9">
        <f>ROUND(AnnualFactors!H10*AH9,1)</f>
        <v>101.8</v>
      </c>
      <c r="AJ9" s="34">
        <f t="shared" si="25"/>
        <v>4963.099999999999</v>
      </c>
      <c r="AK9" s="9">
        <f>AnnualFactors!I10</f>
        <v>2.615995410500668</v>
      </c>
      <c r="AL9" s="34">
        <f t="shared" si="26"/>
        <v>1897.2</v>
      </c>
      <c r="AN9" s="96">
        <f t="shared" si="27"/>
        <v>4909.9</v>
      </c>
      <c r="AO9" s="96">
        <f t="shared" si="28"/>
        <v>98.9</v>
      </c>
      <c r="AP9" s="96">
        <f t="shared" si="29"/>
        <v>4811</v>
      </c>
      <c r="AQ9" s="34">
        <f t="shared" si="30"/>
        <v>1839.0705047449744</v>
      </c>
      <c r="AS9" s="60">
        <f t="shared" si="0"/>
        <v>1071.4747517226401</v>
      </c>
      <c r="AT9" s="60">
        <f t="shared" si="1"/>
        <v>3392.5994649450136</v>
      </c>
      <c r="AU9" s="60">
        <f t="shared" si="2"/>
        <v>445.82578333234613</v>
      </c>
      <c r="AV9" s="115">
        <f t="shared" si="3"/>
        <v>0.06307810465155107</v>
      </c>
      <c r="AW9" s="118">
        <v>0.0732</v>
      </c>
      <c r="CH9" s="115">
        <f t="shared" si="9"/>
        <v>0.31582360238811225</v>
      </c>
      <c r="CI9" s="8">
        <v>0.19502</v>
      </c>
      <c r="CL9" s="115">
        <f t="shared" si="10"/>
        <v>0.1314156888494038</v>
      </c>
      <c r="CM9" s="119">
        <v>0.09836</v>
      </c>
      <c r="CO9" s="120">
        <f t="shared" si="11"/>
        <v>0.8017181298621922</v>
      </c>
      <c r="CP9" s="8">
        <v>0.8</v>
      </c>
      <c r="CU9" s="60">
        <f t="shared" si="31"/>
        <v>3185.8</v>
      </c>
      <c r="CV9" s="60">
        <f>CalculationsLow!U9</f>
        <v>3128.4</v>
      </c>
      <c r="CW9" s="60">
        <f>CalculationsHigh!U9</f>
        <v>3295.2999999999997</v>
      </c>
      <c r="CY9" s="60">
        <f t="shared" si="13"/>
        <v>4909.9</v>
      </c>
      <c r="CZ9" s="60">
        <f>CalculationsLow!AN9</f>
        <v>4703</v>
      </c>
      <c r="DA9" s="60">
        <f>CalculationsHigh!AN9</f>
        <v>5180.9</v>
      </c>
      <c r="DC9" s="60">
        <f t="shared" si="14"/>
        <v>1839.0705047449744</v>
      </c>
      <c r="DD9" s="60">
        <f>CalculationsLow!AQ9</f>
        <v>1764.1395299973924</v>
      </c>
      <c r="DE9" s="60">
        <f>CalculationsHigh!AQ9</f>
        <v>1930.4182509505704</v>
      </c>
    </row>
    <row r="10" spans="1:109" ht="12.75">
      <c r="A10">
        <v>2008</v>
      </c>
      <c r="B10" s="34">
        <f>SectorParameters!E$18+(SectorParameters!E$19*LN(A10))+SectorParameters!E$20*LN(NationalDataInterm!C52)</f>
        <v>63.784446962450716</v>
      </c>
      <c r="C10" s="34">
        <f>SectorParameters!E$11+(SectorParameters!E$12*NationalDataInterm!E52+SectorParameters!E$13*B10)</f>
        <v>126.0929714616102</v>
      </c>
      <c r="D10" s="34">
        <f>EXP(SectorParameters!B$11+SectorParameters!B$12*LN(NationalDataInterm!D52))</f>
        <v>173.26642838560838</v>
      </c>
      <c r="E10" s="34">
        <f>SectorParameters!H$3+(SectorParameters!H$4*NationalDataInterm!H52+SectorParameters!H$5*D9)</f>
        <v>158.91687731814835</v>
      </c>
      <c r="F10" s="34">
        <f>SectorParameters!H$11+SectorParameters!H$12*NationalDataInterm!L52</f>
        <v>69.90916016242821</v>
      </c>
      <c r="G10" s="34">
        <f>SectorParameters!B$3+SectorParameters!B$4*NationalDataInterm!F52</f>
        <v>434.63891874510506</v>
      </c>
      <c r="H10" s="34">
        <f>EXP(SectorParameters!E$3+SectorParameters!E$4*LN(G9)+SectorParameters!E$5*LN(NationalDataInterm!G52))</f>
        <v>96.57942392857359</v>
      </c>
      <c r="I10" s="34">
        <f>SectorParameters!H$18+(SectorParameters!H$19*NationalDataInterm!K52+SectorParameters!H$20*AN9)</f>
        <v>196.39920727200052</v>
      </c>
      <c r="J10" s="34">
        <f>SectorParameters!B$26+SectorParameters!B$27*NationalDataInterm!J52</f>
        <v>435.8031913085471</v>
      </c>
      <c r="K10" s="34">
        <f>SectorParameters!E$26+SectorParameters!E$27*NationalDataInterm!M52</f>
        <v>649.410889771211</v>
      </c>
      <c r="L10" s="34">
        <f>SectorParameters!B$18+SectorParameters!B$19*NationalDataInterm!N52</f>
        <v>274.14545678859173</v>
      </c>
      <c r="N10" s="34">
        <f t="shared" si="15"/>
        <v>2678.9</v>
      </c>
      <c r="O10" s="34"/>
      <c r="P10">
        <f>AnnualFactors!J11</f>
        <v>332.715</v>
      </c>
      <c r="Q10" s="34">
        <f t="shared" si="16"/>
        <v>3011.6</v>
      </c>
      <c r="R10" s="34">
        <f>ROUND((AnnualFactors!G11*Q10),1)</f>
        <v>162.9</v>
      </c>
      <c r="S10" s="34">
        <f t="shared" si="17"/>
        <v>3174.5</v>
      </c>
      <c r="T10" s="34">
        <f>ROUND(AnnualFactors!K11,1)</f>
        <v>81.5</v>
      </c>
      <c r="U10" s="34">
        <f t="shared" si="18"/>
        <v>3256</v>
      </c>
      <c r="V10" s="34"/>
      <c r="W10" s="34">
        <f>ROUND(AnnualFactors!B11*U10,1)</f>
        <v>195.4</v>
      </c>
      <c r="X10" s="34">
        <f t="shared" si="19"/>
        <v>3060.6</v>
      </c>
      <c r="Y10" s="60">
        <f>ROUND(AnnualFactors!F11*X10,1)</f>
        <v>193.9</v>
      </c>
      <c r="Z10" s="34">
        <f t="shared" si="20"/>
        <v>2866.7</v>
      </c>
      <c r="AB10" s="95">
        <f>AnnualFactors!C11</f>
        <v>0.8041381078794076</v>
      </c>
      <c r="AC10" s="34">
        <f t="shared" si="21"/>
        <v>3564.9</v>
      </c>
      <c r="AD10" s="8">
        <f>AnnualFactors!D11</f>
        <v>0.3141935445960068</v>
      </c>
      <c r="AE10" s="34">
        <f t="shared" si="22"/>
        <v>1120.1</v>
      </c>
      <c r="AF10" s="8">
        <f>AnnualFactors!E11</f>
        <v>0.13263180255652826</v>
      </c>
      <c r="AG10">
        <f t="shared" si="23"/>
        <v>472.8</v>
      </c>
      <c r="AH10" s="34">
        <f t="shared" si="24"/>
        <v>5157.8</v>
      </c>
      <c r="AI10">
        <f>ROUND(AnnualFactors!H11*AH10,1)</f>
        <v>103.7</v>
      </c>
      <c r="AJ10" s="34">
        <f t="shared" si="25"/>
        <v>5054.1</v>
      </c>
      <c r="AK10" s="9">
        <f>AnnualFactors!I11</f>
        <v>2.6139954116705644</v>
      </c>
      <c r="AL10" s="34">
        <f t="shared" si="26"/>
        <v>1933.5</v>
      </c>
      <c r="AN10" s="96">
        <f t="shared" si="27"/>
        <v>4999.9</v>
      </c>
      <c r="AO10" s="96">
        <f t="shared" si="28"/>
        <v>100.7</v>
      </c>
      <c r="AP10" s="96">
        <f t="shared" si="29"/>
        <v>4899.2</v>
      </c>
      <c r="AQ10" s="34">
        <f t="shared" si="30"/>
        <v>1874.2190510843309</v>
      </c>
      <c r="AS10" s="60">
        <f t="shared" si="0"/>
        <v>1085.8094517042148</v>
      </c>
      <c r="AT10" s="60">
        <f t="shared" si="1"/>
        <v>3455.7647659854974</v>
      </c>
      <c r="AU10" s="60">
        <f t="shared" si="2"/>
        <v>458.3257823102873</v>
      </c>
      <c r="AV10" s="115">
        <f t="shared" si="3"/>
        <v>0.0633535907991897</v>
      </c>
      <c r="AW10" s="118">
        <v>0.0738</v>
      </c>
      <c r="CH10" s="115">
        <f t="shared" si="9"/>
        <v>0.3141935445960068</v>
      </c>
      <c r="CI10" s="8">
        <v>0.19358</v>
      </c>
      <c r="CL10" s="115">
        <f t="shared" si="10"/>
        <v>0.13263180255652826</v>
      </c>
      <c r="CM10" s="119">
        <v>0.09994</v>
      </c>
      <c r="CO10" s="120">
        <f t="shared" si="11"/>
        <v>0.8041381078794076</v>
      </c>
      <c r="CP10" s="8">
        <v>0.8</v>
      </c>
      <c r="CU10" s="60">
        <f t="shared" si="31"/>
        <v>3256</v>
      </c>
      <c r="CV10" s="60">
        <f>CalculationsLow!U10</f>
        <v>3187.2000000000003</v>
      </c>
      <c r="CW10" s="60">
        <f>CalculationsHigh!U10</f>
        <v>3381.7000000000003</v>
      </c>
      <c r="CY10" s="60">
        <f t="shared" si="13"/>
        <v>4999.9</v>
      </c>
      <c r="CZ10" s="60">
        <f>CalculationsLow!AN10</f>
        <v>4773.5</v>
      </c>
      <c r="DA10" s="60">
        <f>CalculationsHigh!AN10</f>
        <v>5298.4</v>
      </c>
      <c r="DC10" s="60">
        <f t="shared" si="14"/>
        <v>1874.2190510843309</v>
      </c>
      <c r="DD10" s="60">
        <f>CalculationsLow!AQ10</f>
        <v>1793.2641761003583</v>
      </c>
      <c r="DE10" s="60">
        <f>CalculationsHigh!AQ10</f>
        <v>1974.296577946768</v>
      </c>
    </row>
    <row r="11" spans="1:109" ht="12.75">
      <c r="A11">
        <v>2009</v>
      </c>
      <c r="B11" s="34">
        <f>SectorParameters!E$18+(SectorParameters!E$19*LN(A11))+SectorParameters!E$20*LN(NationalDataInterm!C53)</f>
        <v>63.177817810011106</v>
      </c>
      <c r="C11" s="34">
        <f>SectorParameters!E$11+(SectorParameters!E$12*NationalDataInterm!E53+SectorParameters!E$13*B11)</f>
        <v>129.10051333664748</v>
      </c>
      <c r="D11" s="34">
        <f>EXP(SectorParameters!B$11+SectorParameters!B$12*LN(NationalDataInterm!D53))</f>
        <v>176.85788380665045</v>
      </c>
      <c r="E11" s="34">
        <f>SectorParameters!H$3+(SectorParameters!H$4*NationalDataInterm!H53+SectorParameters!H$5*D10)</f>
        <v>160.55191253681895</v>
      </c>
      <c r="F11" s="34">
        <f>SectorParameters!H$11+SectorParameters!H$12*NationalDataInterm!L53</f>
        <v>70.52309935057487</v>
      </c>
      <c r="G11" s="34">
        <f>SectorParameters!B$3+SectorParameters!B$4*NationalDataInterm!F53</f>
        <v>441.3473323608526</v>
      </c>
      <c r="H11" s="34">
        <f>EXP(SectorParameters!E$3+SectorParameters!E$4*LN(G10)+SectorParameters!E$5*LN(NationalDataInterm!G53))</f>
        <v>98.59796668860874</v>
      </c>
      <c r="I11" s="34">
        <f>SectorParameters!H$18+(SectorParameters!H$19*NationalDataInterm!K53+SectorParameters!H$20*AN10)</f>
        <v>202.42335992653432</v>
      </c>
      <c r="J11" s="34">
        <f>SectorParameters!B$26+SectorParameters!B$27*NationalDataInterm!J53</f>
        <v>459.92446183637077</v>
      </c>
      <c r="K11" s="34">
        <f>SectorParameters!E$26+SectorParameters!E$27*NationalDataInterm!M53</f>
        <v>668.6371958493236</v>
      </c>
      <c r="L11" s="34">
        <f>SectorParameters!B$18+SectorParameters!B$19*NationalDataInterm!N53</f>
        <v>276.1601241082954</v>
      </c>
      <c r="N11" s="34">
        <f t="shared" si="15"/>
        <v>2747.3</v>
      </c>
      <c r="O11" s="34"/>
      <c r="P11">
        <f>AnnualFactors!J12</f>
        <v>332.56</v>
      </c>
      <c r="Q11" s="34">
        <f t="shared" si="16"/>
        <v>3079.9</v>
      </c>
      <c r="R11" s="34">
        <f>ROUND((AnnualFactors!G12*Q11),1)</f>
        <v>166.6</v>
      </c>
      <c r="S11" s="34">
        <f t="shared" si="17"/>
        <v>3246.5</v>
      </c>
      <c r="T11" s="34">
        <f>ROUND(AnnualFactors!K12,1)</f>
        <v>81.7</v>
      </c>
      <c r="U11" s="34">
        <f t="shared" si="18"/>
        <v>3328.2</v>
      </c>
      <c r="V11" s="34"/>
      <c r="W11" s="34">
        <f>ROUND(AnnualFactors!B12*U11,1)</f>
        <v>199.7</v>
      </c>
      <c r="X11" s="34">
        <f t="shared" si="19"/>
        <v>3128.5</v>
      </c>
      <c r="Y11" s="60">
        <f>ROUND(AnnualFactors!F12*X11,1)</f>
        <v>199.1</v>
      </c>
      <c r="Z11" s="34">
        <f t="shared" si="20"/>
        <v>2929.4</v>
      </c>
      <c r="AB11" s="95">
        <f>AnnualFactors!C12</f>
        <v>0.806565390575644</v>
      </c>
      <c r="AC11" s="34">
        <f t="shared" si="21"/>
        <v>3631.9</v>
      </c>
      <c r="AD11" s="8">
        <f>AnnualFactors!D12</f>
        <v>0.31257190000793517</v>
      </c>
      <c r="AE11" s="34">
        <f t="shared" si="22"/>
        <v>1135.2</v>
      </c>
      <c r="AF11" s="8">
        <f>AnnualFactors!E12</f>
        <v>0.13385917011440376</v>
      </c>
      <c r="AG11">
        <f t="shared" si="23"/>
        <v>486.2</v>
      </c>
      <c r="AH11" s="34">
        <f t="shared" si="24"/>
        <v>5253.3</v>
      </c>
      <c r="AI11">
        <f>ROUND(AnnualFactors!H12*AH11,1)</f>
        <v>105.6</v>
      </c>
      <c r="AJ11" s="34">
        <f t="shared" si="25"/>
        <v>5147.7</v>
      </c>
      <c r="AK11" s="9">
        <f>AnnualFactors!I12</f>
        <v>2.6119969418933424</v>
      </c>
      <c r="AL11" s="34">
        <f t="shared" si="26"/>
        <v>1970.8</v>
      </c>
      <c r="AN11" s="96">
        <f t="shared" si="27"/>
        <v>5092.5</v>
      </c>
      <c r="AO11" s="96">
        <f t="shared" si="28"/>
        <v>102.6</v>
      </c>
      <c r="AP11" s="96">
        <f t="shared" si="29"/>
        <v>4989.9</v>
      </c>
      <c r="AQ11" s="34">
        <f t="shared" si="30"/>
        <v>1910.3774280773089</v>
      </c>
      <c r="AS11" s="60">
        <f t="shared" si="0"/>
        <v>1100.4522871338015</v>
      </c>
      <c r="AT11" s="60">
        <f t="shared" si="1"/>
        <v>3520.7299697333106</v>
      </c>
      <c r="AU11" s="60">
        <f t="shared" si="2"/>
        <v>471.31774313288787</v>
      </c>
      <c r="AV11" s="115">
        <f t="shared" si="3"/>
        <v>0.06364072239092217</v>
      </c>
      <c r="AW11" s="118">
        <v>0.07440000000000001</v>
      </c>
      <c r="CH11" s="115">
        <f t="shared" si="9"/>
        <v>0.31257190000793517</v>
      </c>
      <c r="CI11" s="8">
        <v>0.19214</v>
      </c>
      <c r="CL11" s="115">
        <f t="shared" si="10"/>
        <v>0.13385917011440376</v>
      </c>
      <c r="CM11" s="119">
        <v>0.10152</v>
      </c>
      <c r="CO11" s="120">
        <f t="shared" si="11"/>
        <v>0.806565390575644</v>
      </c>
      <c r="CP11" s="8">
        <v>0.8</v>
      </c>
      <c r="CU11" s="60">
        <f t="shared" si="31"/>
        <v>3328.2</v>
      </c>
      <c r="CV11" s="60">
        <f>CalculationsLow!U11</f>
        <v>3247.2</v>
      </c>
      <c r="CW11" s="60">
        <f>CalculationsHigh!U11</f>
        <v>3471.4</v>
      </c>
      <c r="CY11" s="60">
        <f t="shared" si="13"/>
        <v>5092.5</v>
      </c>
      <c r="CZ11" s="60">
        <f>CalculationsLow!AN11</f>
        <v>4845.2</v>
      </c>
      <c r="DA11" s="60">
        <f>CalculationsHigh!AN11</f>
        <v>5419.9</v>
      </c>
      <c r="DC11" s="60">
        <f t="shared" si="14"/>
        <v>1910.3774280773089</v>
      </c>
      <c r="DD11" s="60">
        <f>CalculationsLow!AQ11</f>
        <v>1822.8964411112493</v>
      </c>
      <c r="DE11" s="60">
        <f>CalculationsHigh!AQ11</f>
        <v>2019.6577946768061</v>
      </c>
    </row>
    <row r="12" spans="1:109" s="98" customFormat="1" ht="12.75">
      <c r="A12" s="98">
        <v>2010</v>
      </c>
      <c r="B12" s="100">
        <f>SectorParameters!E$18+(SectorParameters!E$19*LN(A12))+SectorParameters!E$20*LN(NationalDataInterm!C54)</f>
        <v>62.4628021461358</v>
      </c>
      <c r="C12" s="100">
        <f>SectorParameters!E$11+(SectorParameters!E$12*NationalDataInterm!E54+SectorParameters!E$13*B12)</f>
        <v>132.02174053824652</v>
      </c>
      <c r="D12" s="100">
        <f>EXP(SectorParameters!B$11+SectorParameters!B$12*LN(NationalDataInterm!Y54))</f>
        <v>180.69270586808514</v>
      </c>
      <c r="E12" s="100">
        <f>SectorParameters!H$3+(SectorParameters!H$4*NationalDataInterm!H54+SectorParameters!H$5*D11)</f>
        <v>162.38632767387412</v>
      </c>
      <c r="F12" s="100">
        <f>SectorParameters!H$11+SectorParameters!H$12*NationalDataInterm!L54</f>
        <v>71.12044558769055</v>
      </c>
      <c r="G12" s="100">
        <f>SectorParameters!B$3+SectorParameters!B$4*NationalDataInterm!F54</f>
        <v>448.5656254019401</v>
      </c>
      <c r="H12" s="100">
        <f>EXP(SectorParameters!E$3+SectorParameters!E$4*LN(G11)+SectorParameters!E$5*LN(NationalDataInterm!G54))</f>
        <v>100.69479196370068</v>
      </c>
      <c r="I12" s="100">
        <f>SectorParameters!H$18+(SectorParameters!H$19*NationalDataInterm!K54+SectorParameters!H$20*AN11)</f>
        <v>208.57421725297002</v>
      </c>
      <c r="J12" s="100">
        <f>SectorParameters!B$26+SectorParameters!B$27*NationalDataInterm!J54</f>
        <v>485.82351444664704</v>
      </c>
      <c r="K12" s="100">
        <f>SectorParameters!E$26+SectorParameters!E$27*NationalDataInterm!M54</f>
        <v>690.7350578769345</v>
      </c>
      <c r="L12" s="100">
        <f>SectorParameters!B$18+SectorParameters!B$19*NationalDataInterm!N54</f>
        <v>278.18571843719064</v>
      </c>
      <c r="N12" s="100">
        <f t="shared" si="15"/>
        <v>2821.3</v>
      </c>
      <c r="O12" s="100"/>
      <c r="P12" s="98">
        <f>AnnualFactors!J13</f>
        <v>332.41400000000004</v>
      </c>
      <c r="Q12" s="100">
        <f t="shared" si="16"/>
        <v>3153.7</v>
      </c>
      <c r="R12" s="100">
        <f>ROUND((AnnualFactors!G13*Q12),1)</f>
        <v>170.6</v>
      </c>
      <c r="S12" s="100">
        <f t="shared" si="17"/>
        <v>3324.2999999999997</v>
      </c>
      <c r="T12" s="100">
        <f>ROUND(AnnualFactors!K13,1)</f>
        <v>82</v>
      </c>
      <c r="U12" s="100">
        <f t="shared" si="18"/>
        <v>3406.2999999999997</v>
      </c>
      <c r="V12" s="100"/>
      <c r="W12" s="100">
        <f>ROUND(AnnualFactors!B13*U12,1)</f>
        <v>204.4</v>
      </c>
      <c r="X12" s="100">
        <f t="shared" si="19"/>
        <v>3201.8999999999996</v>
      </c>
      <c r="Y12" s="100">
        <f>ROUND(AnnualFactors!F13*X12,1)</f>
        <v>204.6</v>
      </c>
      <c r="Z12" s="100">
        <f t="shared" si="20"/>
        <v>2997.2999999999997</v>
      </c>
      <c r="AB12" s="101">
        <f>AnnualFactors!C13</f>
        <v>0.809</v>
      </c>
      <c r="AC12" s="100">
        <f t="shared" si="21"/>
        <v>3704.9</v>
      </c>
      <c r="AD12" s="102">
        <f>AnnualFactors!D13</f>
        <v>0.31095862520089584</v>
      </c>
      <c r="AE12" s="100">
        <f t="shared" si="22"/>
        <v>1152.1</v>
      </c>
      <c r="AF12" s="102">
        <f>AnnualFactors!E13</f>
        <v>0.13509789566555913</v>
      </c>
      <c r="AG12" s="98">
        <f t="shared" si="23"/>
        <v>500.5</v>
      </c>
      <c r="AH12" s="100">
        <f t="shared" si="24"/>
        <v>5357.5</v>
      </c>
      <c r="AI12" s="98">
        <f>ROUND(AnnualFactors!H13*AH12,1)</f>
        <v>107.7</v>
      </c>
      <c r="AJ12" s="100">
        <f t="shared" si="25"/>
        <v>5249.8</v>
      </c>
      <c r="AK12" s="103">
        <f>AnnualFactors!I13</f>
        <v>2.61</v>
      </c>
      <c r="AL12" s="100">
        <f t="shared" si="26"/>
        <v>2011.4</v>
      </c>
      <c r="AN12" s="104">
        <f t="shared" si="27"/>
        <v>5193.5</v>
      </c>
      <c r="AO12" s="104">
        <f t="shared" si="28"/>
        <v>104.6</v>
      </c>
      <c r="AP12" s="104">
        <f t="shared" si="29"/>
        <v>5088.9</v>
      </c>
      <c r="AQ12" s="100">
        <f t="shared" si="30"/>
        <v>1949.7701149425286</v>
      </c>
      <c r="AS12" s="100">
        <f t="shared" si="0"/>
        <v>1116.832729818012</v>
      </c>
      <c r="AT12" s="100">
        <f t="shared" si="1"/>
        <v>3591.4882221185253</v>
      </c>
      <c r="AU12" s="100">
        <f t="shared" si="2"/>
        <v>485.17904806346246</v>
      </c>
      <c r="AV12" s="115">
        <f t="shared" si="3"/>
        <v>0.06389955963646586</v>
      </c>
      <c r="AW12" s="118">
        <v>0.075</v>
      </c>
      <c r="CH12" s="115">
        <f t="shared" si="9"/>
        <v>0.31095862520089584</v>
      </c>
      <c r="CI12" s="102">
        <v>0.1907</v>
      </c>
      <c r="CL12" s="115">
        <f t="shared" si="10"/>
        <v>0.13509789566555913</v>
      </c>
      <c r="CM12" s="119">
        <v>0.1031</v>
      </c>
      <c r="CO12" s="120">
        <f t="shared" si="11"/>
        <v>0.809</v>
      </c>
      <c r="CP12" s="102">
        <v>0.8</v>
      </c>
      <c r="CU12" s="60">
        <f t="shared" si="31"/>
        <v>3406.2999999999997</v>
      </c>
      <c r="CV12" s="60">
        <f>CalculationsLow!U12</f>
        <v>3312.1000000000004</v>
      </c>
      <c r="CW12" s="60">
        <f>CalculationsHigh!U12</f>
        <v>3568.2000000000003</v>
      </c>
      <c r="CY12" s="60">
        <f t="shared" si="13"/>
        <v>5193.5</v>
      </c>
      <c r="CZ12" s="60">
        <f>CalculationsLow!AN12</f>
        <v>4923.9</v>
      </c>
      <c r="DA12" s="60">
        <f>CalculationsHigh!AN12</f>
        <v>5551.8</v>
      </c>
      <c r="DC12" s="60">
        <f t="shared" si="14"/>
        <v>1949.7701149425286</v>
      </c>
      <c r="DD12" s="60">
        <f>CalculationsLow!AQ12</f>
        <v>1855.307692307692</v>
      </c>
      <c r="DE12" s="60">
        <f>CalculationsHigh!AQ12</f>
        <v>2068.897338403042</v>
      </c>
    </row>
    <row r="13" spans="1:109" ht="12.75">
      <c r="A13">
        <v>2011</v>
      </c>
      <c r="B13" s="34">
        <f>SectorParameters!E$18+(SectorParameters!E$19*LN(A13))+SectorParameters!E$20*LN(NationalDataInterm!X55)</f>
        <v>61.77635582482196</v>
      </c>
      <c r="C13" s="34">
        <f>SectorParameters!E$11+(SectorParameters!E$12*NationalDataInterm!Z55+SectorParameters!E$13*B13)</f>
        <v>133.43261021282922</v>
      </c>
      <c r="D13" s="34">
        <f>EXP(SectorParameters!B$11+SectorParameters!B$12*LN(NationalDataInterm!Y55))</f>
        <v>182.28420885576315</v>
      </c>
      <c r="E13" s="34">
        <f>SectorParameters!H$3+(SectorParameters!H$4*NationalDataInterm!AC55+SectorParameters!H$5*D12)</f>
        <v>163.81705817786428</v>
      </c>
      <c r="F13" s="34">
        <f>SectorParameters!H$11+SectorParameters!H$12*NationalDataInterm!AG55</f>
        <v>71.31537223467704</v>
      </c>
      <c r="G13" s="34">
        <f>SectorParameters!B$3+SectorParameters!B$4*NationalDataInterm!AA55</f>
        <v>452.5227884291666</v>
      </c>
      <c r="H13" s="34">
        <f>EXP(SectorParameters!E$3+SectorParameters!E$4*LN(G12)+SectorParameters!E$5*LN(NationalDataInterm!AB55))</f>
        <v>102.48481452165215</v>
      </c>
      <c r="I13" s="34">
        <f>SectorParameters!H$18+(SectorParameters!H$19*NationalDataInterm!AF55+SectorParameters!H$20*AN12)</f>
        <v>214.87320498300403</v>
      </c>
      <c r="J13" s="34">
        <f>SectorParameters!B$26+SectorParameters!B$27*NationalDataInterm!AE55</f>
        <v>493.1189114079758</v>
      </c>
      <c r="K13" s="34">
        <f>SectorParameters!E$26+SectorParameters!E$27*NationalDataInterm!AH55</f>
        <v>703.6817846998509</v>
      </c>
      <c r="L13" s="34">
        <f>SectorParameters!B$18+SectorParameters!B$19*NationalDataInterm!AI55</f>
        <v>280.17216219084804</v>
      </c>
      <c r="N13" s="34">
        <f t="shared" si="15"/>
        <v>2859.5</v>
      </c>
      <c r="O13" s="34"/>
      <c r="P13">
        <f>AnnualFactors!J14</f>
        <v>332.2739999999999</v>
      </c>
      <c r="Q13" s="34">
        <f t="shared" si="16"/>
        <v>3191.8</v>
      </c>
      <c r="R13" s="34">
        <f>ROUND((AnnualFactors!G14*Q13),1)</f>
        <v>172.7</v>
      </c>
      <c r="S13" s="34">
        <f t="shared" si="17"/>
        <v>3364.5</v>
      </c>
      <c r="T13" s="34">
        <f>ROUND(AnnualFactors!K14,1)</f>
        <v>82.2</v>
      </c>
      <c r="U13" s="34">
        <f t="shared" si="18"/>
        <v>3446.7</v>
      </c>
      <c r="V13" s="34"/>
      <c r="W13" s="34">
        <f>ROUND(AnnualFactors!B14*U13,1)</f>
        <v>206.8</v>
      </c>
      <c r="X13" s="34">
        <f t="shared" si="19"/>
        <v>3239.8999999999996</v>
      </c>
      <c r="Y13" s="60">
        <f>ROUND(AnnualFactors!F14*X13,1)</f>
        <v>207.9</v>
      </c>
      <c r="Z13" s="34">
        <f t="shared" si="20"/>
        <v>3031.9999999999995</v>
      </c>
      <c r="AB13" s="95">
        <f>AnnualFactors!C14</f>
        <v>0.8096987917629204</v>
      </c>
      <c r="AC13" s="34">
        <f t="shared" si="21"/>
        <v>3744.6</v>
      </c>
      <c r="AD13" s="8">
        <f>AnnualFactors!D14</f>
        <v>0.31285024906827813</v>
      </c>
      <c r="AE13" s="34">
        <f t="shared" si="22"/>
        <v>1171.5</v>
      </c>
      <c r="AF13" s="8">
        <f>AnnualFactors!E14</f>
        <v>0.13855617649904683</v>
      </c>
      <c r="AG13">
        <f t="shared" si="23"/>
        <v>518.8</v>
      </c>
      <c r="AH13" s="34">
        <f t="shared" si="24"/>
        <v>5434.900000000001</v>
      </c>
      <c r="AI13">
        <f>ROUND(AnnualFactors!H14*AH13,1)</f>
        <v>109.2</v>
      </c>
      <c r="AJ13" s="34">
        <f t="shared" si="25"/>
        <v>5325.700000000001</v>
      </c>
      <c r="AK13" s="9">
        <f>AnnualFactors!I14</f>
        <v>2.61</v>
      </c>
      <c r="AL13" s="34">
        <f t="shared" si="26"/>
        <v>2040.5</v>
      </c>
      <c r="AN13" s="96">
        <f t="shared" si="27"/>
        <v>5268.6</v>
      </c>
      <c r="AO13" s="96">
        <f t="shared" si="28"/>
        <v>106.1</v>
      </c>
      <c r="AP13" s="96">
        <f t="shared" si="29"/>
        <v>5162.5</v>
      </c>
      <c r="AQ13" s="34">
        <f t="shared" si="30"/>
        <v>1977.969348659004</v>
      </c>
      <c r="AS13" s="60">
        <f t="shared" si="0"/>
        <v>1135.653811477672</v>
      </c>
      <c r="AT13" s="60">
        <f t="shared" si="1"/>
        <v>3630.0207105926506</v>
      </c>
      <c r="AU13" s="60">
        <f t="shared" si="2"/>
        <v>502.9254779296767</v>
      </c>
      <c r="AV13" s="115">
        <f t="shared" si="3"/>
        <v>0.06416864718046854</v>
      </c>
      <c r="AW13" s="118">
        <v>0.0754</v>
      </c>
      <c r="CH13" s="115">
        <f t="shared" si="9"/>
        <v>0.31285024906827813</v>
      </c>
      <c r="CI13" s="8">
        <v>0.19024000000000002</v>
      </c>
      <c r="CL13" s="115">
        <f t="shared" si="10"/>
        <v>0.13855617649904683</v>
      </c>
      <c r="CM13" s="119">
        <v>0.10522</v>
      </c>
      <c r="CO13" s="120">
        <f t="shared" si="11"/>
        <v>0.8096987917629204</v>
      </c>
      <c r="CP13" s="8">
        <v>0.8</v>
      </c>
      <c r="CU13" s="60">
        <f t="shared" si="31"/>
        <v>3446.7</v>
      </c>
      <c r="CV13" s="60">
        <f>CalculationsLow!U13</f>
        <v>3332.2</v>
      </c>
      <c r="CW13" s="60">
        <f>CalculationsHigh!U13</f>
        <v>3617.1</v>
      </c>
      <c r="CY13" s="60">
        <f t="shared" si="13"/>
        <v>5268.6</v>
      </c>
      <c r="CZ13" s="60">
        <f>CalculationsLow!AN13</f>
        <v>4964.5</v>
      </c>
      <c r="DA13" s="60">
        <f>CalculationsHigh!AN13</f>
        <v>5644.2</v>
      </c>
      <c r="DC13" s="60">
        <f t="shared" si="14"/>
        <v>1977.969348659004</v>
      </c>
      <c r="DD13" s="60">
        <f>CalculationsLow!AQ13</f>
        <v>1871.9036847694993</v>
      </c>
      <c r="DE13" s="60">
        <f>CalculationsHigh!AQ13</f>
        <v>2100.2754133256044</v>
      </c>
    </row>
    <row r="14" spans="1:109" ht="12.75">
      <c r="A14">
        <v>2012</v>
      </c>
      <c r="B14" s="34">
        <f>SectorParameters!E$18+(SectorParameters!E$19*LN(A14))+SectorParameters!E$20*LN(NationalDataInterm!X56)</f>
        <v>61.0457613212709</v>
      </c>
      <c r="C14" s="34">
        <f>SectorParameters!E$11+(SectorParameters!E$12*NationalDataInterm!Z56+SectorParameters!E$13*B14)</f>
        <v>134.78426553655245</v>
      </c>
      <c r="D14" s="34">
        <f>EXP(SectorParameters!B$11+SectorParameters!B$12*LN(NationalDataInterm!Y56))</f>
        <v>183.82859337088817</v>
      </c>
      <c r="E14" s="34">
        <f>SectorParameters!H$3+(SectorParameters!H$4*NationalDataInterm!AC56+SectorParameters!H$5*D13)</f>
        <v>164.91805175713168</v>
      </c>
      <c r="F14" s="34">
        <f>SectorParameters!H$11+SectorParameters!H$12*NationalDataInterm!AG56</f>
        <v>71.53126770188483</v>
      </c>
      <c r="G14" s="34">
        <f>SectorParameters!B$3+SectorParameters!B$4*NationalDataInterm!AA56</f>
        <v>456.5346326837795</v>
      </c>
      <c r="H14" s="34">
        <f>EXP(SectorParameters!E$3+SectorParameters!E$4*LN(G13)+SectorParameters!E$5*LN(NationalDataInterm!AB56))</f>
        <v>103.69141752913639</v>
      </c>
      <c r="I14" s="34">
        <f>SectorParameters!H$18+(SectorParameters!H$19*NationalDataInterm!AF56+SectorParameters!H$20*AN13)</f>
        <v>220.0598912674077</v>
      </c>
      <c r="J14" s="34">
        <f>SectorParameters!B$26+SectorParameters!B$27*NationalDataInterm!AE56</f>
        <v>508.1510877316664</v>
      </c>
      <c r="K14" s="34">
        <f>SectorParameters!E$26+SectorParameters!E$27*NationalDataInterm!AH56</f>
        <v>709.244442128683</v>
      </c>
      <c r="L14" s="34">
        <f>SectorParameters!B$18+SectorParameters!B$19*NationalDataInterm!AI56</f>
        <v>282.16393787918645</v>
      </c>
      <c r="N14" s="34">
        <f t="shared" si="15"/>
        <v>2896</v>
      </c>
      <c r="O14" s="34"/>
      <c r="P14">
        <f>AnnualFactors!J15</f>
        <v>332.14</v>
      </c>
      <c r="Q14" s="34">
        <f t="shared" si="16"/>
        <v>3228.1</v>
      </c>
      <c r="R14" s="34">
        <f>ROUND((AnnualFactors!G15*Q14),1)</f>
        <v>174.6</v>
      </c>
      <c r="S14" s="34">
        <f t="shared" si="17"/>
        <v>3402.7</v>
      </c>
      <c r="T14" s="34">
        <f>ROUND(AnnualFactors!K15,1)</f>
        <v>82.4</v>
      </c>
      <c r="U14" s="34">
        <f t="shared" si="18"/>
        <v>3485.1</v>
      </c>
      <c r="V14" s="34"/>
      <c r="W14" s="34">
        <f>ROUND(AnnualFactors!B15*U14,1)</f>
        <v>209.1</v>
      </c>
      <c r="X14" s="34">
        <f t="shared" si="19"/>
        <v>3276</v>
      </c>
      <c r="Y14" s="60">
        <f>ROUND(AnnualFactors!F15*X14,1)</f>
        <v>211.1</v>
      </c>
      <c r="Z14" s="34">
        <f t="shared" si="20"/>
        <v>3064.9</v>
      </c>
      <c r="AB14" s="95">
        <f>AnnualFactors!C15</f>
        <v>0.810398187122785</v>
      </c>
      <c r="AC14" s="34">
        <f t="shared" si="21"/>
        <v>3782</v>
      </c>
      <c r="AD14" s="8">
        <f>AnnualFactors!D15</f>
        <v>0.31475338006415166</v>
      </c>
      <c r="AE14" s="34">
        <f t="shared" si="22"/>
        <v>1190.4</v>
      </c>
      <c r="AF14" s="8">
        <f>AnnualFactors!E15</f>
        <v>0.14210298355468143</v>
      </c>
      <c r="AG14">
        <f t="shared" si="23"/>
        <v>537.4</v>
      </c>
      <c r="AH14" s="34">
        <f t="shared" si="24"/>
        <v>5509.799999999999</v>
      </c>
      <c r="AI14">
        <f>ROUND(AnnualFactors!H15*AH14,1)</f>
        <v>110.7</v>
      </c>
      <c r="AJ14" s="34">
        <f t="shared" si="25"/>
        <v>5399.099999999999</v>
      </c>
      <c r="AK14" s="9">
        <f>AnnualFactors!I15</f>
        <v>2.61</v>
      </c>
      <c r="AL14" s="34">
        <f t="shared" si="26"/>
        <v>2068.6</v>
      </c>
      <c r="AN14" s="96">
        <f t="shared" si="27"/>
        <v>5341.2</v>
      </c>
      <c r="AO14" s="96">
        <f t="shared" si="28"/>
        <v>107.5</v>
      </c>
      <c r="AP14" s="96">
        <f t="shared" si="29"/>
        <v>5233.7</v>
      </c>
      <c r="AQ14" s="34">
        <f t="shared" si="30"/>
        <v>2005.2490421455939</v>
      </c>
      <c r="AS14" s="60">
        <f t="shared" si="0"/>
        <v>1153.9737340738322</v>
      </c>
      <c r="AT14" s="60">
        <f t="shared" si="1"/>
        <v>3666.2707176304043</v>
      </c>
      <c r="AU14" s="60">
        <f t="shared" si="2"/>
        <v>520.955548295764</v>
      </c>
      <c r="AV14" s="115">
        <f t="shared" si="3"/>
        <v>0.06443833943833943</v>
      </c>
      <c r="AW14" s="118">
        <v>0.07579999999999999</v>
      </c>
      <c r="CH14" s="115">
        <f t="shared" si="9"/>
        <v>0.31475338006415166</v>
      </c>
      <c r="CI14" s="8">
        <v>0.18978000000000003</v>
      </c>
      <c r="CL14" s="115">
        <f t="shared" si="10"/>
        <v>0.14210298355468143</v>
      </c>
      <c r="CM14" s="119">
        <v>0.10733999999999999</v>
      </c>
      <c r="CO14" s="120">
        <f t="shared" si="11"/>
        <v>0.810398187122785</v>
      </c>
      <c r="CP14" s="8">
        <v>0.8</v>
      </c>
      <c r="CU14" s="60">
        <f t="shared" si="31"/>
        <v>3485.1</v>
      </c>
      <c r="CV14" s="60">
        <f>CalculationsLow!U14</f>
        <v>3356.5</v>
      </c>
      <c r="CW14" s="60">
        <f>CalculationsHigh!U14</f>
        <v>3674.0000000000005</v>
      </c>
      <c r="CY14" s="60">
        <f t="shared" si="13"/>
        <v>5341.2</v>
      </c>
      <c r="CZ14" s="60">
        <f>CalculationsLow!AN14</f>
        <v>5011.7</v>
      </c>
      <c r="DA14" s="60">
        <f>CalculationsHigh!AN14</f>
        <v>5749.8</v>
      </c>
      <c r="DC14" s="60">
        <f t="shared" si="14"/>
        <v>2005.2490421455939</v>
      </c>
      <c r="DD14" s="60">
        <f>CalculationsLow!AQ14</f>
        <v>1891.0280222533693</v>
      </c>
      <c r="DE14" s="60">
        <f>CalculationsHigh!AQ14</f>
        <v>2136.443834255219</v>
      </c>
    </row>
    <row r="15" spans="1:109" ht="12.75">
      <c r="A15">
        <v>2013</v>
      </c>
      <c r="B15" s="34">
        <f>SectorParameters!E$18+(SectorParameters!E$19*LN(A15))+SectorParameters!E$20*LN(NationalDataInterm!X57)</f>
        <v>60.36531450063035</v>
      </c>
      <c r="C15" s="34">
        <f>SectorParameters!E$11+(SectorParameters!E$12*NationalDataInterm!Z57+SectorParameters!E$13*B15)</f>
        <v>136.20218815771517</v>
      </c>
      <c r="D15" s="34">
        <f>EXP(SectorParameters!B$11+SectorParameters!B$12*LN(NationalDataInterm!Y57))</f>
        <v>185.45750403916244</v>
      </c>
      <c r="E15" s="34">
        <f>SectorParameters!H$3+(SectorParameters!H$4*NationalDataInterm!AC57+SectorParameters!H$5*D14)</f>
        <v>166.02731775224203</v>
      </c>
      <c r="F15" s="34">
        <f>SectorParameters!H$11+SectorParameters!H$12*NationalDataInterm!AG57</f>
        <v>71.75481700228197</v>
      </c>
      <c r="G15" s="34">
        <f>SectorParameters!B$3+SectorParameters!B$4*NationalDataInterm!AA57</f>
        <v>460.38672758298094</v>
      </c>
      <c r="H15" s="34">
        <f>EXP(SectorParameters!E$3+SectorParameters!E$4*LN(G14)+SectorParameters!E$5*LN(NationalDataInterm!AB57))</f>
        <v>104.86632441856194</v>
      </c>
      <c r="I15" s="34">
        <f>SectorParameters!H$18+(SectorParameters!H$19*NationalDataInterm!AF57+SectorParameters!H$20*AN14)</f>
        <v>225.17455274077213</v>
      </c>
      <c r="J15" s="34">
        <f>SectorParameters!B$26+SectorParameters!B$27*NationalDataInterm!AE57</f>
        <v>523.6015068565811</v>
      </c>
      <c r="K15" s="34">
        <f>SectorParameters!E$26+SectorParameters!E$27*NationalDataInterm!AH57</f>
        <v>713.7374992591298</v>
      </c>
      <c r="L15" s="34">
        <f>SectorParameters!B$18+SectorParameters!B$19*NationalDataInterm!AI57</f>
        <v>284.19160308038636</v>
      </c>
      <c r="N15" s="34">
        <f t="shared" si="15"/>
        <v>2931.8</v>
      </c>
      <c r="O15" s="34"/>
      <c r="P15">
        <f>AnnualFactors!J16</f>
        <v>332.008</v>
      </c>
      <c r="Q15" s="34">
        <f t="shared" si="16"/>
        <v>3263.8</v>
      </c>
      <c r="R15" s="34">
        <f>ROUND((AnnualFactors!G16*Q15),1)</f>
        <v>176.6</v>
      </c>
      <c r="S15" s="34">
        <f t="shared" si="17"/>
        <v>3440.4</v>
      </c>
      <c r="T15" s="34">
        <f>ROUND(AnnualFactors!K16,1)</f>
        <v>82.7</v>
      </c>
      <c r="U15" s="34">
        <f t="shared" si="18"/>
        <v>3523.1</v>
      </c>
      <c r="V15" s="34"/>
      <c r="W15" s="34">
        <f>ROUND(AnnualFactors!B16*U15,1)</f>
        <v>211.4</v>
      </c>
      <c r="X15" s="34">
        <f t="shared" si="19"/>
        <v>3311.7</v>
      </c>
      <c r="Y15" s="60">
        <f>ROUND(AnnualFactors!F16*X15,1)</f>
        <v>214.3</v>
      </c>
      <c r="Z15" s="34">
        <f t="shared" si="20"/>
        <v>3097.3999999999996</v>
      </c>
      <c r="AB15" s="95">
        <f>AnnualFactors!C16</f>
        <v>0.8110981866009642</v>
      </c>
      <c r="AC15" s="34">
        <f t="shared" si="21"/>
        <v>3818.8</v>
      </c>
      <c r="AD15" s="8">
        <f>AnnualFactors!D16</f>
        <v>0.31666808818869374</v>
      </c>
      <c r="AE15" s="34">
        <f t="shared" si="22"/>
        <v>1209.3</v>
      </c>
      <c r="AF15" s="8">
        <f>AnnualFactors!E16</f>
        <v>0.14574058295611944</v>
      </c>
      <c r="AG15">
        <f t="shared" si="23"/>
        <v>556.6</v>
      </c>
      <c r="AH15" s="34">
        <f t="shared" si="24"/>
        <v>5584.700000000001</v>
      </c>
      <c r="AI15">
        <f>ROUND(AnnualFactors!H16*AH15,1)</f>
        <v>112.3</v>
      </c>
      <c r="AJ15" s="34">
        <f t="shared" si="25"/>
        <v>5472.400000000001</v>
      </c>
      <c r="AK15" s="9">
        <f>AnnualFactors!I16</f>
        <v>2.61</v>
      </c>
      <c r="AL15" s="34">
        <f t="shared" si="26"/>
        <v>2096.7</v>
      </c>
      <c r="AN15" s="96">
        <f t="shared" si="27"/>
        <v>5413.8</v>
      </c>
      <c r="AO15" s="96">
        <f t="shared" si="28"/>
        <v>109.1</v>
      </c>
      <c r="AP15" s="96">
        <f t="shared" si="29"/>
        <v>5304.7</v>
      </c>
      <c r="AQ15" s="34">
        <f t="shared" si="30"/>
        <v>2032.4521072796936</v>
      </c>
      <c r="AS15" s="60">
        <f t="shared" si="0"/>
        <v>1172.2936487188208</v>
      </c>
      <c r="AT15" s="60">
        <f t="shared" si="1"/>
        <v>3701.9391265421596</v>
      </c>
      <c r="AU15" s="60">
        <f t="shared" si="2"/>
        <v>539.5672247390191</v>
      </c>
      <c r="AV15" s="115">
        <f t="shared" si="3"/>
        <v>0.06470996769031012</v>
      </c>
      <c r="AW15" s="118">
        <v>0.07619999999999999</v>
      </c>
      <c r="CH15" s="115">
        <f t="shared" si="9"/>
        <v>0.31666808818869374</v>
      </c>
      <c r="CI15" s="8">
        <v>0.18932000000000004</v>
      </c>
      <c r="CL15" s="115">
        <f t="shared" si="10"/>
        <v>0.14574058295611944</v>
      </c>
      <c r="CM15" s="119">
        <v>0.10945999999999999</v>
      </c>
      <c r="CO15" s="120">
        <f t="shared" si="11"/>
        <v>0.8110981866009642</v>
      </c>
      <c r="CP15" s="8">
        <v>0.8</v>
      </c>
      <c r="CU15" s="60">
        <f t="shared" si="31"/>
        <v>3523.1</v>
      </c>
      <c r="CV15" s="60">
        <f>CalculationsLow!U15</f>
        <v>3380.5</v>
      </c>
      <c r="CW15" s="60">
        <f>CalculationsHigh!U15</f>
        <v>3732.1</v>
      </c>
      <c r="CY15" s="60">
        <f t="shared" si="13"/>
        <v>5413.8</v>
      </c>
      <c r="CZ15" s="60">
        <f>CalculationsLow!AN15</f>
        <v>5059</v>
      </c>
      <c r="DA15" s="60">
        <f>CalculationsHigh!AN15</f>
        <v>5858.2</v>
      </c>
      <c r="DC15" s="60">
        <f t="shared" si="14"/>
        <v>2032.4521072796936</v>
      </c>
      <c r="DD15" s="60">
        <f>CalculationsLow!AQ15</f>
        <v>1910.2578382559263</v>
      </c>
      <c r="DE15" s="60">
        <f>CalculationsHigh!AQ15</f>
        <v>2173.5955829080985</v>
      </c>
    </row>
    <row r="16" spans="1:109" ht="12.75">
      <c r="A16">
        <v>2014</v>
      </c>
      <c r="B16" s="34">
        <f>SectorParameters!E$18+(SectorParameters!E$19*LN(A16))+SectorParameters!E$20*LN(NationalDataInterm!X58)</f>
        <v>59.688566024052875</v>
      </c>
      <c r="C16" s="34">
        <f>SectorParameters!E$11+(SectorParameters!E$12*NationalDataInterm!Z58+SectorParameters!E$13*B16)</f>
        <v>137.64997026735222</v>
      </c>
      <c r="D16" s="34">
        <f>EXP(SectorParameters!B$11+SectorParameters!B$12*LN(NationalDataInterm!Y58))</f>
        <v>187.10697611057083</v>
      </c>
      <c r="E16" s="34">
        <f>SectorParameters!H$3+(SectorParameters!H$4*NationalDataInterm!AC58+SectorParameters!H$5*D15)</f>
        <v>167.15952462530882</v>
      </c>
      <c r="F16" s="34">
        <f>SectorParameters!H$11+SectorParameters!H$12*NationalDataInterm!AG58</f>
        <v>71.98314914751444</v>
      </c>
      <c r="G16" s="34">
        <f>SectorParameters!B$3+SectorParameters!B$4*NationalDataInterm!AA58</f>
        <v>464.2581173270227</v>
      </c>
      <c r="H16" s="34">
        <f>EXP(SectorParameters!E$3+SectorParameters!E$4*LN(G15)+SectorParameters!E$5*LN(NationalDataInterm!AB58))</f>
        <v>105.98414139431632</v>
      </c>
      <c r="I16" s="34">
        <f>SectorParameters!H$18+(SectorParameters!H$19*NationalDataInterm!AF58+SectorParameters!H$20*AN15)</f>
        <v>230.32329858372856</v>
      </c>
      <c r="J16" s="34">
        <f>SectorParameters!B$26+SectorParameters!B$27*NationalDataInterm!AE58</f>
        <v>539.4323747820829</v>
      </c>
      <c r="K16" s="34">
        <f>SectorParameters!E$26+SectorParameters!E$27*NationalDataInterm!AH58</f>
        <v>718.1617555675024</v>
      </c>
      <c r="L16" s="34">
        <f>SectorParameters!B$18+SectorParameters!B$19*NationalDataInterm!AI58</f>
        <v>286.24175514357376</v>
      </c>
      <c r="N16" s="34">
        <f t="shared" si="15"/>
        <v>2968</v>
      </c>
      <c r="O16" s="34"/>
      <c r="P16">
        <f>AnnualFactors!J17</f>
        <v>331.87599999999986</v>
      </c>
      <c r="Q16" s="34">
        <f t="shared" si="16"/>
        <v>3299.9</v>
      </c>
      <c r="R16" s="34">
        <f>ROUND((AnnualFactors!G17*Q16),1)</f>
        <v>178.5</v>
      </c>
      <c r="S16" s="34">
        <f t="shared" si="17"/>
        <v>3478.4</v>
      </c>
      <c r="T16" s="34">
        <f>ROUND(AnnualFactors!K17,1)</f>
        <v>82.8</v>
      </c>
      <c r="U16" s="34">
        <f t="shared" si="18"/>
        <v>3561.2000000000003</v>
      </c>
      <c r="V16" s="34"/>
      <c r="W16" s="34">
        <f>ROUND(AnnualFactors!B17*U16,1)</f>
        <v>213.7</v>
      </c>
      <c r="X16" s="34">
        <f t="shared" si="19"/>
        <v>3347.5000000000005</v>
      </c>
      <c r="Y16" s="60">
        <f>ROUND(AnnualFactors!F17*X16,1)</f>
        <v>217.5</v>
      </c>
      <c r="Z16" s="34">
        <f t="shared" si="20"/>
        <v>3130.0000000000005</v>
      </c>
      <c r="AB16" s="95">
        <f>AnnualFactors!C17</f>
        <v>0.8117987907192786</v>
      </c>
      <c r="AC16" s="34">
        <f t="shared" si="21"/>
        <v>3855.6</v>
      </c>
      <c r="AD16" s="8">
        <f>AnnualFactors!D17</f>
        <v>0.31859444386790686</v>
      </c>
      <c r="AE16" s="34">
        <f t="shared" si="22"/>
        <v>1228.4</v>
      </c>
      <c r="AF16" s="8">
        <f>AnnualFactors!E17</f>
        <v>0.14947129883600388</v>
      </c>
      <c r="AG16">
        <f t="shared" si="23"/>
        <v>576.3</v>
      </c>
      <c r="AH16" s="34">
        <f t="shared" si="24"/>
        <v>5660.3</v>
      </c>
      <c r="AI16">
        <f>ROUND(AnnualFactors!H17*AH16,1)</f>
        <v>113.8</v>
      </c>
      <c r="AJ16" s="34">
        <f t="shared" si="25"/>
        <v>5546.5</v>
      </c>
      <c r="AK16" s="9">
        <f>AnnualFactors!I17</f>
        <v>2.61</v>
      </c>
      <c r="AL16" s="34">
        <f t="shared" si="26"/>
        <v>2125.1</v>
      </c>
      <c r="AN16" s="96">
        <f t="shared" si="27"/>
        <v>5487.1</v>
      </c>
      <c r="AO16" s="96">
        <f t="shared" si="28"/>
        <v>110.5</v>
      </c>
      <c r="AP16" s="96">
        <f t="shared" si="29"/>
        <v>5376.6</v>
      </c>
      <c r="AQ16" s="34">
        <f t="shared" si="30"/>
        <v>2060.0000000000005</v>
      </c>
      <c r="AS16" s="60">
        <f t="shared" si="0"/>
        <v>1190.8120841651505</v>
      </c>
      <c r="AT16" s="60">
        <f t="shared" si="1"/>
        <v>3737.6221684363018</v>
      </c>
      <c r="AU16" s="60">
        <f t="shared" si="2"/>
        <v>558.6657473985478</v>
      </c>
      <c r="AV16" s="115">
        <f t="shared" si="3"/>
        <v>0.06497386109036593</v>
      </c>
      <c r="AW16" s="118">
        <v>0.07659999999999999</v>
      </c>
      <c r="CH16" s="115">
        <f t="shared" si="9"/>
        <v>0.31859444386790686</v>
      </c>
      <c r="CI16" s="8">
        <v>0.18886000000000006</v>
      </c>
      <c r="CL16" s="115">
        <f t="shared" si="10"/>
        <v>0.14947129883600388</v>
      </c>
      <c r="CM16" s="119">
        <v>0.11157999999999998</v>
      </c>
      <c r="CO16" s="120">
        <f t="shared" si="11"/>
        <v>0.8117987907192786</v>
      </c>
      <c r="CP16" s="8">
        <v>0.8</v>
      </c>
      <c r="CU16" s="60">
        <f t="shared" si="31"/>
        <v>3561.2000000000003</v>
      </c>
      <c r="CV16" s="60">
        <f>CalculationsLow!U16</f>
        <v>3403.8</v>
      </c>
      <c r="CW16" s="60">
        <f>CalculationsHigh!U16</f>
        <v>3791.6000000000004</v>
      </c>
      <c r="CY16" s="60">
        <f t="shared" si="13"/>
        <v>5487.1</v>
      </c>
      <c r="CZ16" s="60">
        <f>CalculationsLow!AN16</f>
        <v>5105.6</v>
      </c>
      <c r="DA16" s="60">
        <f>CalculationsHigh!AN16</f>
        <v>5969.6</v>
      </c>
      <c r="DC16" s="60">
        <f t="shared" si="14"/>
        <v>2060.0000000000005</v>
      </c>
      <c r="DD16" s="60">
        <f>CalculationsLow!AQ16</f>
        <v>1929.2075405767403</v>
      </c>
      <c r="DE16" s="60">
        <f>CalculationsHigh!AQ16</f>
        <v>2211.688143899606</v>
      </c>
    </row>
    <row r="17" spans="1:109" s="98" customFormat="1" ht="12.75">
      <c r="A17" s="98">
        <v>2015</v>
      </c>
      <c r="B17" s="34">
        <f>SectorParameters!E$18+(SectorParameters!E$19*LN(A17))+SectorParameters!E$20*LN(NationalDataInterm!X59)</f>
        <v>59.01940211309352</v>
      </c>
      <c r="C17" s="34">
        <f>SectorParameters!E$11+(SectorParameters!E$12*NationalDataInterm!Z59+SectorParameters!E$13*B17)</f>
        <v>138.68984259031689</v>
      </c>
      <c r="D17" s="34">
        <f>EXP(SectorParameters!B$11+SectorParameters!B$12*LN(NationalDataInterm!Y59))</f>
        <v>188.7837079041423</v>
      </c>
      <c r="E17" s="34">
        <f>SectorParameters!H$3+(SectorParameters!H$4*NationalDataInterm!AC59+SectorParameters!H$5*D16)</f>
        <v>168.30829705668583</v>
      </c>
      <c r="F17" s="34">
        <f>SectorParameters!H$11+SectorParameters!H$12*NationalDataInterm!AG59</f>
        <v>72.21788276333423</v>
      </c>
      <c r="G17" s="34">
        <f>SectorParameters!B$3+SectorParameters!B$4*NationalDataInterm!AA59</f>
        <v>468.16398985483625</v>
      </c>
      <c r="H17" s="34">
        <f>EXP(SectorParameters!E$3+SectorParameters!E$4*LN(G16)+SectorParameters!E$5*LN(NationalDataInterm!AB59))</f>
        <v>107.0845091264477</v>
      </c>
      <c r="I17" s="34">
        <f>SectorParameters!H$18+(SectorParameters!H$19*NationalDataInterm!AF59+SectorParameters!H$20*AN16)</f>
        <v>235.54177609419764</v>
      </c>
      <c r="J17" s="34">
        <f>SectorParameters!B$26+SectorParameters!B$27*NationalDataInterm!AE59</f>
        <v>555.6670485834912</v>
      </c>
      <c r="K17" s="34">
        <f>SectorParameters!E$26+SectorParameters!E$27*NationalDataInterm!AH59</f>
        <v>722.5363961172253</v>
      </c>
      <c r="L17" s="34">
        <f>SectorParameters!B$18+SectorParameters!B$19*NationalDataInterm!AI59</f>
        <v>288.32251765074244</v>
      </c>
      <c r="N17" s="100">
        <f t="shared" si="15"/>
        <v>3004.3</v>
      </c>
      <c r="O17" s="100"/>
      <c r="P17" s="98">
        <f>AnnualFactors!J18</f>
        <v>331.74300000000005</v>
      </c>
      <c r="Q17" s="100">
        <f t="shared" si="16"/>
        <v>3336</v>
      </c>
      <c r="R17" s="100">
        <f>ROUND((AnnualFactors!G18*Q17),1)</f>
        <v>180.5</v>
      </c>
      <c r="S17" s="100">
        <f t="shared" si="17"/>
        <v>3516.5</v>
      </c>
      <c r="T17" s="100">
        <f>ROUND(AnnualFactors!K18,1)</f>
        <v>83</v>
      </c>
      <c r="U17" s="100">
        <f t="shared" si="18"/>
        <v>3599.5</v>
      </c>
      <c r="V17" s="100"/>
      <c r="W17" s="100">
        <f>ROUND(AnnualFactors!B18*U17,1)</f>
        <v>216</v>
      </c>
      <c r="X17" s="100">
        <f t="shared" si="19"/>
        <v>3383.5</v>
      </c>
      <c r="Y17" s="100">
        <f>ROUND(AnnualFactors!F18*X17,1)</f>
        <v>220.8</v>
      </c>
      <c r="Z17" s="100">
        <f t="shared" si="20"/>
        <v>3162.7</v>
      </c>
      <c r="AB17" s="101">
        <f>AnnualFactors!C18</f>
        <v>0.8125</v>
      </c>
      <c r="AC17" s="100">
        <f t="shared" si="21"/>
        <v>3892.6</v>
      </c>
      <c r="AD17" s="102">
        <f>AnnualFactors!D18</f>
        <v>0.3205325179562088</v>
      </c>
      <c r="AE17" s="100">
        <f t="shared" si="22"/>
        <v>1247.7</v>
      </c>
      <c r="AF17" s="102">
        <f>AnnualFactors!E18</f>
        <v>0.15329751482089762</v>
      </c>
      <c r="AG17" s="98">
        <f t="shared" si="23"/>
        <v>596.7</v>
      </c>
      <c r="AH17" s="100">
        <f t="shared" si="24"/>
        <v>5737</v>
      </c>
      <c r="AI17" s="98">
        <f>ROUND(AnnualFactors!H18*AH17,1)</f>
        <v>115.3</v>
      </c>
      <c r="AJ17" s="100">
        <f t="shared" si="25"/>
        <v>5621.7</v>
      </c>
      <c r="AK17" s="103">
        <f>AnnualFactors!I18</f>
        <v>2.61</v>
      </c>
      <c r="AL17" s="100">
        <f t="shared" si="26"/>
        <v>2153.9</v>
      </c>
      <c r="AN17" s="104">
        <f t="shared" si="27"/>
        <v>5561.4</v>
      </c>
      <c r="AO17" s="104">
        <f t="shared" si="28"/>
        <v>112</v>
      </c>
      <c r="AP17" s="104">
        <f t="shared" si="29"/>
        <v>5449.4</v>
      </c>
      <c r="AQ17" s="100">
        <f t="shared" si="30"/>
        <v>2087.892720306513</v>
      </c>
      <c r="AS17" s="100">
        <f t="shared" si="0"/>
        <v>1209.5099843123583</v>
      </c>
      <c r="AT17" s="100">
        <f t="shared" si="1"/>
        <v>3773.4540073208987</v>
      </c>
      <c r="AU17" s="100">
        <f t="shared" si="2"/>
        <v>578.4360083667422</v>
      </c>
      <c r="AV17" s="115">
        <f t="shared" si="3"/>
        <v>0.06525786907048914</v>
      </c>
      <c r="AW17" s="118">
        <v>0.077</v>
      </c>
      <c r="CH17" s="115">
        <f t="shared" si="9"/>
        <v>0.3205325179562088</v>
      </c>
      <c r="CI17" s="102">
        <v>0.1884</v>
      </c>
      <c r="CL17" s="115">
        <f t="shared" si="10"/>
        <v>0.15329751482089762</v>
      </c>
      <c r="CM17" s="119">
        <v>0.1137</v>
      </c>
      <c r="CO17" s="120">
        <f t="shared" si="11"/>
        <v>0.8125</v>
      </c>
      <c r="CP17" s="102">
        <v>0.8</v>
      </c>
      <c r="CU17" s="60">
        <f t="shared" si="31"/>
        <v>3599.5</v>
      </c>
      <c r="CV17" s="60">
        <f>CalculationsLow!U17</f>
        <v>3426.7999999999997</v>
      </c>
      <c r="CW17" s="60">
        <f>CalculationsHigh!U17</f>
        <v>3852.3</v>
      </c>
      <c r="CY17" s="60">
        <f t="shared" si="13"/>
        <v>5561.4</v>
      </c>
      <c r="CZ17" s="60">
        <f>CalculationsLow!AN17</f>
        <v>5152.4</v>
      </c>
      <c r="DA17" s="60">
        <f>CalculationsHigh!AN17</f>
        <v>6084.1</v>
      </c>
      <c r="DC17" s="60">
        <f t="shared" si="14"/>
        <v>2087.892720306513</v>
      </c>
      <c r="DD17" s="60">
        <f>CalculationsLow!AQ17</f>
        <v>1948.2625482625483</v>
      </c>
      <c r="DE17" s="60">
        <f>CalculationsHigh!AQ17</f>
        <v>2250.8301886792456</v>
      </c>
    </row>
    <row r="18" spans="1:109" ht="12.75">
      <c r="A18">
        <v>2016</v>
      </c>
      <c r="B18" s="34">
        <f>SectorParameters!E$18+(SectorParameters!E$19*LN(A18))+SectorParameters!E$20*LN(NationalDataInterm!X60)</f>
        <v>58.11107008763679</v>
      </c>
      <c r="C18" s="34">
        <f>SectorParameters!E$11+(SectorParameters!E$12*NationalDataInterm!Z60+SectorParameters!E$13*B18)</f>
        <v>138.98743742633746</v>
      </c>
      <c r="D18" s="34">
        <f>EXP(SectorParameters!B$11+SectorParameters!B$12*LN(NationalDataInterm!Y60))</f>
        <v>189.86504339298682</v>
      </c>
      <c r="E18" s="34">
        <f>SectorParameters!H$3+(SectorParameters!H$4*NationalDataInterm!AC60+SectorParameters!H$5*D17)</f>
        <v>169.14931986327332</v>
      </c>
      <c r="F18" s="34">
        <f>SectorParameters!H$11+SectorParameters!H$12*NationalDataInterm!AG60</f>
        <v>72.34040199283774</v>
      </c>
      <c r="G18" s="34">
        <f>SectorParameters!B$3+SectorParameters!B$4*NationalDataInterm!AA60</f>
        <v>471.24851126935744</v>
      </c>
      <c r="H18" s="34">
        <f>EXP(SectorParameters!E$3+SectorParameters!E$4*LN(G17)+SectorParameters!E$5*LN(NationalDataInterm!AB60))</f>
        <v>108.06923595757628</v>
      </c>
      <c r="I18" s="34">
        <f>SectorParameters!H$18+(SectorParameters!H$19*NationalDataInterm!AF60+SectorParameters!H$20*AN17)</f>
        <v>240.64531024066576</v>
      </c>
      <c r="J18" s="34">
        <f>SectorParameters!B$26+SectorParameters!B$27*NationalDataInterm!AE60</f>
        <v>571.30168828993</v>
      </c>
      <c r="K18" s="34">
        <f>SectorParameters!E$26+SectorParameters!E$27*NationalDataInterm!AH60</f>
        <v>725.313569347423</v>
      </c>
      <c r="L18" s="34">
        <f>SectorParameters!B$18+SectorParameters!B$19*NationalDataInterm!AI60</f>
        <v>289.8755071418874</v>
      </c>
      <c r="N18" s="34">
        <f t="shared" si="15"/>
        <v>3034.9</v>
      </c>
      <c r="O18" s="34"/>
      <c r="P18">
        <f>AnnualFactors!J19</f>
        <v>331.61</v>
      </c>
      <c r="Q18" s="34">
        <f t="shared" si="16"/>
        <v>3366.5</v>
      </c>
      <c r="R18" s="34">
        <f>ROUND((AnnualFactors!G19*Q18),1)</f>
        <v>182.1</v>
      </c>
      <c r="S18" s="34">
        <f t="shared" si="17"/>
        <v>3548.6</v>
      </c>
      <c r="T18" s="34">
        <f>ROUND(AnnualFactors!K19,1)</f>
        <v>83.2</v>
      </c>
      <c r="U18" s="34">
        <f t="shared" si="18"/>
        <v>3631.7999999999997</v>
      </c>
      <c r="V18" s="34"/>
      <c r="W18" s="34">
        <f>ROUND(AnnualFactors!B19*U18,1)</f>
        <v>217.9</v>
      </c>
      <c r="X18" s="34">
        <f t="shared" si="19"/>
        <v>3413.8999999999996</v>
      </c>
      <c r="Y18" s="60">
        <f>ROUND(AnnualFactors!F19*X18,1)</f>
        <v>223.7</v>
      </c>
      <c r="Z18" s="34">
        <f t="shared" si="20"/>
        <v>3190.2</v>
      </c>
      <c r="AB18" s="95">
        <f>AnnualFactors!C19</f>
        <v>0.8114774293277405</v>
      </c>
      <c r="AC18" s="34">
        <f t="shared" si="21"/>
        <v>3931.3</v>
      </c>
      <c r="AD18" s="8">
        <f>AnnualFactors!D19</f>
        <v>0.32360489917691854</v>
      </c>
      <c r="AE18" s="34">
        <f t="shared" si="22"/>
        <v>1272.2</v>
      </c>
      <c r="AF18" s="8">
        <f>AnnualFactors!E19</f>
        <v>0.15768179602027213</v>
      </c>
      <c r="AG18">
        <f t="shared" si="23"/>
        <v>619.9</v>
      </c>
      <c r="AH18" s="34">
        <f t="shared" si="24"/>
        <v>5823.4</v>
      </c>
      <c r="AI18">
        <f>ROUND(AnnualFactors!H19*AH18,1)</f>
        <v>117.1</v>
      </c>
      <c r="AJ18" s="34">
        <f t="shared" si="25"/>
        <v>5706.299999999999</v>
      </c>
      <c r="AK18" s="9">
        <f>AnnualFactors!I19</f>
        <v>2.6079969278006616</v>
      </c>
      <c r="AL18" s="34">
        <f t="shared" si="26"/>
        <v>2188</v>
      </c>
      <c r="AN18" s="96">
        <f t="shared" si="27"/>
        <v>5645.2</v>
      </c>
      <c r="AO18" s="96">
        <f t="shared" si="28"/>
        <v>113.7</v>
      </c>
      <c r="AP18" s="96">
        <f t="shared" si="29"/>
        <v>5531.5</v>
      </c>
      <c r="AQ18" s="34">
        <f t="shared" si="30"/>
        <v>2120.9764248705405</v>
      </c>
      <c r="AS18" s="60">
        <f t="shared" si="0"/>
        <v>1233.2698148847753</v>
      </c>
      <c r="AT18" s="60">
        <f t="shared" si="1"/>
        <v>3810.999546656593</v>
      </c>
      <c r="AU18" s="60">
        <f t="shared" si="2"/>
        <v>600.9306384586324</v>
      </c>
      <c r="AV18" s="115">
        <f t="shared" si="3"/>
        <v>0.06552623099680717</v>
      </c>
      <c r="AW18" s="118">
        <v>0.0772</v>
      </c>
      <c r="CH18" s="115">
        <f t="shared" si="9"/>
        <v>0.32360489917691854</v>
      </c>
      <c r="CI18" s="8">
        <v>0.18908</v>
      </c>
      <c r="CL18" s="115">
        <f t="shared" si="10"/>
        <v>0.15768179602027213</v>
      </c>
      <c r="CM18" s="119">
        <v>0.11562</v>
      </c>
      <c r="CO18" s="120">
        <f t="shared" si="11"/>
        <v>0.8114774293277405</v>
      </c>
      <c r="CP18" s="8">
        <v>0.8</v>
      </c>
      <c r="CU18" s="60">
        <f t="shared" si="31"/>
        <v>3631.7999999999997</v>
      </c>
      <c r="CV18" s="60">
        <f>CalculationsLow!U18</f>
        <v>3443.6</v>
      </c>
      <c r="CW18" s="60">
        <f>CalculationsHigh!U18</f>
        <v>3907.7</v>
      </c>
      <c r="CY18" s="60">
        <f t="shared" si="13"/>
        <v>5645.2</v>
      </c>
      <c r="CZ18" s="60">
        <f>CalculationsLow!AN18</f>
        <v>5206.8</v>
      </c>
      <c r="DA18" s="60">
        <f>CalculationsHigh!AN18</f>
        <v>6210.8</v>
      </c>
      <c r="DC18" s="60">
        <f t="shared" si="14"/>
        <v>2120.9764248705405</v>
      </c>
      <c r="DD18" s="60">
        <f>CalculationsLow!AQ18</f>
        <v>1970.1723723378468</v>
      </c>
      <c r="DE18" s="60">
        <f>CalculationsHigh!AQ18</f>
        <v>2297.9622641509436</v>
      </c>
    </row>
    <row r="19" spans="1:109" ht="12.75">
      <c r="A19">
        <v>2017</v>
      </c>
      <c r="B19" s="34">
        <f>SectorParameters!E$18+(SectorParameters!E$19*LN(A19))+SectorParameters!E$20*LN(NationalDataInterm!X61)</f>
        <v>57.217287296962695</v>
      </c>
      <c r="C19" s="34">
        <f>SectorParameters!E$11+(SectorParameters!E$12*NationalDataInterm!Z61+SectorParameters!E$13*B19)</f>
        <v>139.27900117093418</v>
      </c>
      <c r="D19" s="34">
        <f>EXP(SectorParameters!B$11+SectorParameters!B$12*LN(NationalDataInterm!Y61))</f>
        <v>190.96066596147807</v>
      </c>
      <c r="E19" s="34">
        <f>SectorParameters!H$3+(SectorParameters!H$4*NationalDataInterm!AC61+SectorParameters!H$5*D18)</f>
        <v>169.89954988039108</v>
      </c>
      <c r="F19" s="34">
        <f>SectorParameters!H$11+SectorParameters!H$12*NationalDataInterm!AG61</f>
        <v>72.4674345152644</v>
      </c>
      <c r="G19" s="34">
        <f>SectorParameters!B$3+SectorParameters!B$4*NationalDataInterm!AA61</f>
        <v>474.34410123926125</v>
      </c>
      <c r="H19" s="34">
        <f>EXP(SectorParameters!E$3+SectorParameters!E$4*LN(G18)+SectorParameters!E$5*LN(NationalDataInterm!AB61))</f>
        <v>108.91385156308762</v>
      </c>
      <c r="I19" s="34">
        <f>SectorParameters!H$18+(SectorParameters!H$19*NationalDataInterm!AF61+SectorParameters!H$20*AN18)</f>
        <v>246.21469854746044</v>
      </c>
      <c r="J19" s="34">
        <f>SectorParameters!B$26+SectorParameters!B$27*NationalDataInterm!AE61</f>
        <v>587.2889122249514</v>
      </c>
      <c r="K19" s="34">
        <f>SectorParameters!E$26+SectorParameters!E$27*NationalDataInterm!AH61</f>
        <v>728.0043582742098</v>
      </c>
      <c r="L19" s="34">
        <f>SectorParameters!B$18+SectorParameters!B$19*NationalDataInterm!AI61</f>
        <v>291.4469936799589</v>
      </c>
      <c r="N19" s="34">
        <f t="shared" si="15"/>
        <v>3066</v>
      </c>
      <c r="O19" s="34"/>
      <c r="P19">
        <f>AnnualFactors!J20</f>
        <v>331.478</v>
      </c>
      <c r="Q19" s="34">
        <f t="shared" si="16"/>
        <v>3397.5</v>
      </c>
      <c r="R19" s="34">
        <f>ROUND((AnnualFactors!G20*Q19),1)</f>
        <v>183.8</v>
      </c>
      <c r="S19" s="34">
        <f t="shared" si="17"/>
        <v>3581.3</v>
      </c>
      <c r="T19" s="34">
        <f>ROUND(AnnualFactors!K20,1)</f>
        <v>83.3</v>
      </c>
      <c r="U19" s="34">
        <f t="shared" si="18"/>
        <v>3664.6000000000004</v>
      </c>
      <c r="V19" s="34"/>
      <c r="W19" s="34">
        <f>ROUND(AnnualFactors!B20*U19,1)</f>
        <v>219.9</v>
      </c>
      <c r="X19" s="34">
        <f t="shared" si="19"/>
        <v>3444.7000000000003</v>
      </c>
      <c r="Y19" s="60">
        <f>ROUND(AnnualFactors!F20*X19,1)</f>
        <v>226.6</v>
      </c>
      <c r="Z19" s="34">
        <f t="shared" si="20"/>
        <v>3218.1000000000004</v>
      </c>
      <c r="AB19" s="95">
        <f>AnnualFactors!C20</f>
        <v>0.8104561456102868</v>
      </c>
      <c r="AC19" s="34">
        <f t="shared" si="21"/>
        <v>3970.7</v>
      </c>
      <c r="AD19" s="8">
        <f>AnnualFactors!D20</f>
        <v>0.32670672991003835</v>
      </c>
      <c r="AE19" s="34">
        <f t="shared" si="22"/>
        <v>1297.3</v>
      </c>
      <c r="AF19" s="8">
        <f>AnnualFactors!E20</f>
        <v>0.16219146686903296</v>
      </c>
      <c r="AG19">
        <f t="shared" si="23"/>
        <v>644</v>
      </c>
      <c r="AH19" s="34">
        <f t="shared" si="24"/>
        <v>5912</v>
      </c>
      <c r="AI19">
        <f>ROUND(AnnualFactors!H20*AH19,1)</f>
        <v>118.8</v>
      </c>
      <c r="AJ19" s="34">
        <f t="shared" si="25"/>
        <v>5793.2</v>
      </c>
      <c r="AK19" s="9">
        <f>AnnualFactors!I20</f>
        <v>2.605995392880341</v>
      </c>
      <c r="AL19" s="34">
        <f t="shared" si="26"/>
        <v>2223</v>
      </c>
      <c r="AN19" s="96">
        <f t="shared" si="27"/>
        <v>5731</v>
      </c>
      <c r="AO19" s="96">
        <f t="shared" si="28"/>
        <v>115.4</v>
      </c>
      <c r="AP19" s="96">
        <f t="shared" si="29"/>
        <v>5615.6</v>
      </c>
      <c r="AQ19" s="34">
        <f t="shared" si="30"/>
        <v>2154.8771787325454</v>
      </c>
      <c r="AS19" s="60">
        <f t="shared" si="0"/>
        <v>1257.5822564276048</v>
      </c>
      <c r="AT19" s="60">
        <f t="shared" si="1"/>
        <v>3849.1342523680646</v>
      </c>
      <c r="AU19" s="60">
        <f t="shared" si="2"/>
        <v>624.2834912043302</v>
      </c>
      <c r="AV19" s="115">
        <f t="shared" si="3"/>
        <v>0.065782216158156</v>
      </c>
      <c r="AW19" s="118">
        <v>0.07740000000000001</v>
      </c>
      <c r="CH19" s="115">
        <f t="shared" si="9"/>
        <v>0.32670672991003835</v>
      </c>
      <c r="CI19" s="8">
        <v>0.18975999999999998</v>
      </c>
      <c r="CL19" s="115">
        <f t="shared" si="10"/>
        <v>0.16219146686903296</v>
      </c>
      <c r="CM19" s="119">
        <v>0.11754</v>
      </c>
      <c r="CO19" s="120">
        <f t="shared" si="11"/>
        <v>0.8104561456102868</v>
      </c>
      <c r="CP19" s="8">
        <v>0.8</v>
      </c>
      <c r="CU19" s="60">
        <f t="shared" si="31"/>
        <v>3664.6000000000004</v>
      </c>
      <c r="CV19" s="60">
        <f>CalculationsLow!U19</f>
        <v>3460.1000000000004</v>
      </c>
      <c r="CW19" s="60">
        <f>CalculationsHigh!U19</f>
        <v>3964.6</v>
      </c>
      <c r="CY19" s="60">
        <f t="shared" si="13"/>
        <v>5731</v>
      </c>
      <c r="CZ19" s="60">
        <f>CalculationsLow!AN19</f>
        <v>5261.8</v>
      </c>
      <c r="DA19" s="60">
        <f>CalculationsHigh!AN19</f>
        <v>6341.7</v>
      </c>
      <c r="DC19" s="60">
        <f t="shared" si="14"/>
        <v>2154.8771787325454</v>
      </c>
      <c r="DD19" s="60">
        <f>CalculationsLow!AQ19</f>
        <v>1992.3082945970157</v>
      </c>
      <c r="DE19" s="60">
        <f>CalculationsHigh!AQ19</f>
        <v>2346.603773584906</v>
      </c>
    </row>
    <row r="20" spans="1:109" ht="12.75">
      <c r="A20">
        <v>2018</v>
      </c>
      <c r="B20" s="34">
        <f>SectorParameters!E$18+(SectorParameters!E$19*LN(A20))+SectorParameters!E$20*LN(NationalDataInterm!X62)</f>
        <v>56.318136740908926</v>
      </c>
      <c r="C20" s="34">
        <f>SectorParameters!E$11+(SectorParameters!E$12*NationalDataInterm!Z62+SectorParameters!E$13*B20)</f>
        <v>139.55491813531137</v>
      </c>
      <c r="D20" s="34">
        <f>EXP(SectorParameters!B$11+SectorParameters!B$12*LN(NationalDataInterm!Y62))</f>
        <v>192.07016629098564</v>
      </c>
      <c r="E20" s="34">
        <f>SectorParameters!H$3+(SectorParameters!H$4*NationalDataInterm!AC62+SectorParameters!H$5*D19)</f>
        <v>170.65914084351058</v>
      </c>
      <c r="F20" s="34">
        <f>SectorParameters!H$11+SectorParameters!H$12*NationalDataInterm!AG62</f>
        <v>72.59881207416527</v>
      </c>
      <c r="G20" s="34">
        <f>SectorParameters!B$3+SectorParameters!B$4*NationalDataInterm!AA62</f>
        <v>477.450173202363</v>
      </c>
      <c r="H20" s="34">
        <f>EXP(SectorParameters!E$3+SectorParameters!E$4*LN(G19)+SectorParameters!E$5*LN(NationalDataInterm!AB62))</f>
        <v>109.75137221047325</v>
      </c>
      <c r="I20" s="34">
        <f>SectorParameters!H$18+(SectorParameters!H$19*NationalDataInterm!AF62+SectorParameters!H$20*AN19)</f>
        <v>251.90649464802112</v>
      </c>
      <c r="J20" s="34">
        <f>SectorParameters!B$26+SectorParameters!B$27*NationalDataInterm!AE62</f>
        <v>603.6352403623921</v>
      </c>
      <c r="K20" s="34">
        <f>SectorParameters!E$26+SectorParameters!E$27*NationalDataInterm!AH62</f>
        <v>730.6035069338473</v>
      </c>
      <c r="L20" s="34">
        <f>SectorParameters!B$18+SectorParameters!B$19*NationalDataInterm!AI62</f>
        <v>293.03647437751124</v>
      </c>
      <c r="N20" s="34">
        <f t="shared" si="15"/>
        <v>3097.6</v>
      </c>
      <c r="O20" s="34"/>
      <c r="P20">
        <f>AnnualFactors!J21</f>
        <v>331.345000000001</v>
      </c>
      <c r="Q20" s="34">
        <f t="shared" si="16"/>
        <v>3428.9</v>
      </c>
      <c r="R20" s="34">
        <f>ROUND((AnnualFactors!G21*Q20),1)</f>
        <v>185.5</v>
      </c>
      <c r="S20" s="34">
        <f t="shared" si="17"/>
        <v>3614.4</v>
      </c>
      <c r="T20" s="34">
        <f>ROUND(AnnualFactors!K21,1)</f>
        <v>83.4</v>
      </c>
      <c r="U20" s="34">
        <f t="shared" si="18"/>
        <v>3697.8</v>
      </c>
      <c r="V20" s="34"/>
      <c r="W20" s="34">
        <f>ROUND(AnnualFactors!B21*U20,1)</f>
        <v>221.9</v>
      </c>
      <c r="X20" s="34">
        <f t="shared" si="19"/>
        <v>3475.9</v>
      </c>
      <c r="Y20" s="60">
        <f>ROUND(AnnualFactors!F21*X20,1)</f>
        <v>229.6</v>
      </c>
      <c r="Z20" s="34">
        <f t="shared" si="20"/>
        <v>3246.3</v>
      </c>
      <c r="AB20" s="95">
        <f>AnnualFactors!C21</f>
        <v>0.8094361472279439</v>
      </c>
      <c r="AC20" s="34">
        <f t="shared" si="21"/>
        <v>4010.6</v>
      </c>
      <c r="AD20" s="8">
        <f>AnnualFactors!D21</f>
        <v>0.3298382924362225</v>
      </c>
      <c r="AE20" s="34">
        <f t="shared" si="22"/>
        <v>1322.8</v>
      </c>
      <c r="AF20" s="8">
        <f>AnnualFactors!E21</f>
        <v>0.16683011348847535</v>
      </c>
      <c r="AG20">
        <f t="shared" si="23"/>
        <v>669.1</v>
      </c>
      <c r="AH20" s="34">
        <f t="shared" si="24"/>
        <v>6002.5</v>
      </c>
      <c r="AI20">
        <f>ROUND(AnnualFactors!H21*AH20,1)</f>
        <v>120.7</v>
      </c>
      <c r="AJ20" s="34">
        <f t="shared" si="25"/>
        <v>5881.8</v>
      </c>
      <c r="AK20" s="9">
        <f>AnnualFactors!I21</f>
        <v>2.603995394059237</v>
      </c>
      <c r="AL20" s="34">
        <f t="shared" si="26"/>
        <v>2258.8</v>
      </c>
      <c r="AN20" s="96">
        <f t="shared" si="27"/>
        <v>5818.8</v>
      </c>
      <c r="AO20" s="96">
        <f t="shared" si="28"/>
        <v>117.2</v>
      </c>
      <c r="AP20" s="96">
        <f t="shared" si="29"/>
        <v>5701.6</v>
      </c>
      <c r="AQ20" s="34">
        <f t="shared" si="30"/>
        <v>2189.558404368782</v>
      </c>
      <c r="AS20" s="60">
        <f t="shared" si="0"/>
        <v>1282.3171411911703</v>
      </c>
      <c r="AT20" s="60">
        <f t="shared" si="1"/>
        <v>3887.859938359017</v>
      </c>
      <c r="AU20" s="60">
        <f t="shared" si="2"/>
        <v>648.6229204498127</v>
      </c>
      <c r="AV20" s="115">
        <f t="shared" si="3"/>
        <v>0.06605483471906556</v>
      </c>
      <c r="AW20" s="118">
        <v>0.07760000000000002</v>
      </c>
      <c r="CH20" s="115">
        <f t="shared" si="9"/>
        <v>0.3298382924362225</v>
      </c>
      <c r="CI20" s="8">
        <v>0.19043999999999997</v>
      </c>
      <c r="CL20" s="115">
        <f t="shared" si="10"/>
        <v>0.16683011348847535</v>
      </c>
      <c r="CM20" s="119">
        <v>0.11946000000000001</v>
      </c>
      <c r="CO20" s="120">
        <f t="shared" si="11"/>
        <v>0.8094361472279439</v>
      </c>
      <c r="CP20" s="8">
        <v>0.8</v>
      </c>
      <c r="CU20" s="60">
        <f t="shared" si="31"/>
        <v>3697.8</v>
      </c>
      <c r="CV20" s="60">
        <f>CalculationsLow!U20</f>
        <v>3476.4</v>
      </c>
      <c r="CW20" s="60">
        <f>CalculationsHigh!U20</f>
        <v>4022.8</v>
      </c>
      <c r="CY20" s="60">
        <f t="shared" si="13"/>
        <v>5818.8</v>
      </c>
      <c r="CZ20" s="60">
        <f>CalculationsLow!AN20</f>
        <v>5317.4</v>
      </c>
      <c r="DA20" s="60">
        <f>CalculationsHigh!AN20</f>
        <v>6476.6</v>
      </c>
      <c r="DC20" s="60">
        <f t="shared" si="14"/>
        <v>2189.558404368782</v>
      </c>
      <c r="DD20" s="60">
        <f>CalculationsLow!AQ20</f>
        <v>2014.7482010832503</v>
      </c>
      <c r="DE20" s="60">
        <f>CalculationsHigh!AQ20</f>
        <v>2396.7924528301887</v>
      </c>
    </row>
    <row r="21" spans="1:109" ht="12.75">
      <c r="A21">
        <v>2019</v>
      </c>
      <c r="B21" s="34">
        <f>SectorParameters!E$18+(SectorParameters!E$19*LN(A21))+SectorParameters!E$20*LN(NationalDataInterm!X63)</f>
        <v>55.43314390072317</v>
      </c>
      <c r="C21" s="34">
        <f>SectorParameters!E$11+(SectorParameters!E$12*NationalDataInterm!Z63+SectorParameters!E$13*B21)</f>
        <v>139.82310207235156</v>
      </c>
      <c r="D21" s="34">
        <f>EXP(SectorParameters!B$11+SectorParameters!B$12*LN(NationalDataInterm!Y63))</f>
        <v>193.19369143720692</v>
      </c>
      <c r="E21" s="34">
        <f>SectorParameters!H$3+(SectorParameters!H$4*NationalDataInterm!AC63+SectorParameters!H$5*D20)</f>
        <v>171.4280772957345</v>
      </c>
      <c r="F21" s="34">
        <f>SectorParameters!H$11+SectorParameters!H$12*NationalDataInterm!AG63</f>
        <v>72.7345088932067</v>
      </c>
      <c r="G21" s="34">
        <f>SectorParameters!B$3+SectorParameters!B$4*NationalDataInterm!AA63</f>
        <v>480.5662155570638</v>
      </c>
      <c r="H21" s="34">
        <f>EXP(SectorParameters!E$3+SectorParameters!E$4*LN(G20)+SectorParameters!E$5*LN(NationalDataInterm!AB63))</f>
        <v>110.58382449066099</v>
      </c>
      <c r="I21" s="34">
        <f>SectorParameters!H$18+(SectorParameters!H$19*NationalDataInterm!AF63+SectorParameters!H$20*AN20)</f>
        <v>257.72129039972776</v>
      </c>
      <c r="J21" s="34">
        <f>SectorParameters!B$26+SectorParameters!B$27*NationalDataInterm!AE63</f>
        <v>620.3485751137705</v>
      </c>
      <c r="K21" s="34">
        <f>SectorParameters!E$26+SectorParameters!E$27*NationalDataInterm!AH63</f>
        <v>733.1075545888482</v>
      </c>
      <c r="L21" s="34">
        <f>SectorParameters!B$18+SectorParameters!B$19*NationalDataInterm!AI63</f>
        <v>294.6441273963439</v>
      </c>
      <c r="N21" s="34">
        <f t="shared" si="15"/>
        <v>3129.6</v>
      </c>
      <c r="O21" s="34"/>
      <c r="P21">
        <f>AnnualFactors!J22</f>
        <v>331.21</v>
      </c>
      <c r="Q21" s="34">
        <f t="shared" si="16"/>
        <v>3460.8</v>
      </c>
      <c r="R21" s="34">
        <f>ROUND((AnnualFactors!G22*Q21),1)</f>
        <v>187.2</v>
      </c>
      <c r="S21" s="34">
        <f t="shared" si="17"/>
        <v>3648</v>
      </c>
      <c r="T21" s="34">
        <f>ROUND(AnnualFactors!K22,1)</f>
        <v>83.5</v>
      </c>
      <c r="U21" s="34">
        <f t="shared" si="18"/>
        <v>3731.5</v>
      </c>
      <c r="V21" s="34"/>
      <c r="W21" s="34">
        <f>ROUND(AnnualFactors!B22*U21,1)</f>
        <v>223.9</v>
      </c>
      <c r="X21" s="34">
        <f t="shared" si="19"/>
        <v>3507.6</v>
      </c>
      <c r="Y21" s="60">
        <f>ROUND(AnnualFactors!F22*X21,1)</f>
        <v>232.7</v>
      </c>
      <c r="Z21" s="34">
        <f t="shared" si="20"/>
        <v>3274.9</v>
      </c>
      <c r="AB21" s="95">
        <f>AnnualFactors!C22</f>
        <v>0.8084174325630552</v>
      </c>
      <c r="AC21" s="34">
        <f t="shared" si="21"/>
        <v>4051</v>
      </c>
      <c r="AD21" s="8">
        <f>AnnualFactors!D22</f>
        <v>0.3329998717418531</v>
      </c>
      <c r="AE21" s="34">
        <f t="shared" si="22"/>
        <v>1349</v>
      </c>
      <c r="AF21" s="8">
        <f>AnnualFactors!E22</f>
        <v>0.17160142456231495</v>
      </c>
      <c r="AG21">
        <f t="shared" si="23"/>
        <v>695.2</v>
      </c>
      <c r="AH21" s="34">
        <f t="shared" si="24"/>
        <v>6095.2</v>
      </c>
      <c r="AI21">
        <f>ROUND(AnnualFactors!H22*AH21,1)</f>
        <v>122.5</v>
      </c>
      <c r="AJ21" s="34">
        <f t="shared" si="25"/>
        <v>5972.7</v>
      </c>
      <c r="AK21" s="9">
        <f>AnnualFactors!I22</f>
        <v>2.6019969301584536</v>
      </c>
      <c r="AL21" s="34">
        <f t="shared" si="26"/>
        <v>2295.4</v>
      </c>
      <c r="AN21" s="96">
        <f t="shared" si="27"/>
        <v>5908.6</v>
      </c>
      <c r="AO21" s="96">
        <f t="shared" si="28"/>
        <v>119</v>
      </c>
      <c r="AP21" s="96">
        <f t="shared" si="29"/>
        <v>5789.6</v>
      </c>
      <c r="AQ21" s="34">
        <f t="shared" si="30"/>
        <v>2225.06027309088</v>
      </c>
      <c r="AS21" s="60">
        <f t="shared" si="0"/>
        <v>1307.7013715710725</v>
      </c>
      <c r="AT21" s="60">
        <f t="shared" si="1"/>
        <v>3926.981657697861</v>
      </c>
      <c r="AU21" s="60">
        <f t="shared" si="2"/>
        <v>673.9169707310672</v>
      </c>
      <c r="AV21" s="115">
        <f t="shared" si="3"/>
        <v>0.06634165811381001</v>
      </c>
      <c r="AW21" s="118">
        <v>0.07780000000000002</v>
      </c>
      <c r="CH21" s="115">
        <f t="shared" si="9"/>
        <v>0.3329998717418531</v>
      </c>
      <c r="CI21" s="8">
        <v>0.19111999999999996</v>
      </c>
      <c r="CL21" s="115">
        <f t="shared" si="10"/>
        <v>0.17160142456231495</v>
      </c>
      <c r="CM21" s="119">
        <v>0.12138000000000002</v>
      </c>
      <c r="CO21" s="120">
        <f t="shared" si="11"/>
        <v>0.8084174325630552</v>
      </c>
      <c r="CP21" s="8">
        <v>0.8</v>
      </c>
      <c r="CU21" s="60">
        <f t="shared" si="31"/>
        <v>3731.5</v>
      </c>
      <c r="CV21" s="60">
        <f>CalculationsLow!U21</f>
        <v>3492.8</v>
      </c>
      <c r="CW21" s="60">
        <f>CalculationsHigh!U21</f>
        <v>4082.7000000000003</v>
      </c>
      <c r="CY21" s="60">
        <f t="shared" si="13"/>
        <v>5908.6</v>
      </c>
      <c r="CZ21" s="60">
        <f>CalculationsLow!AN21</f>
        <v>5373.8</v>
      </c>
      <c r="DA21" s="60">
        <f>CalculationsHigh!AN21</f>
        <v>6616.5</v>
      </c>
      <c r="DC21" s="60">
        <f t="shared" si="14"/>
        <v>2225.06027309088</v>
      </c>
      <c r="DD21" s="60">
        <f>CalculationsLow!AQ21</f>
        <v>2037.4540290605585</v>
      </c>
      <c r="DE21" s="60">
        <f>CalculationsHigh!AQ21</f>
        <v>2448.7924528301887</v>
      </c>
    </row>
    <row r="22" spans="1:109" s="98" customFormat="1" ht="12.75">
      <c r="A22" s="98">
        <v>2020</v>
      </c>
      <c r="B22" s="34">
        <f>SectorParameters!E$18+(SectorParameters!E$19*LN(A22))+SectorParameters!E$20*LN(NationalDataInterm!X64)</f>
        <v>54.55246958595444</v>
      </c>
      <c r="C22" s="34">
        <f>SectorParameters!E$11+(SectorParameters!E$12*NationalDataInterm!Z64+SectorParameters!E$13*B22)</f>
        <v>140.07907552349326</v>
      </c>
      <c r="D22" s="34">
        <f>EXP(SectorParameters!B$11+SectorParameters!B$12*LN(NationalDataInterm!Y64))</f>
        <v>194.33130406210512</v>
      </c>
      <c r="E22" s="34">
        <f>SectorParameters!H$3+(SectorParameters!H$4*NationalDataInterm!AC64+SectorParameters!H$5*D21)</f>
        <v>172.2063818125291</v>
      </c>
      <c r="F22" s="34">
        <f>SectorParameters!H$11+SectorParameters!H$12*NationalDataInterm!AG64</f>
        <v>72.87448065499498</v>
      </c>
      <c r="G22" s="34">
        <f>SectorParameters!B$3+SectorParameters!B$4*NationalDataInterm!AA64</f>
        <v>483.69175006971386</v>
      </c>
      <c r="H22" s="34">
        <f>EXP(SectorParameters!E$3+SectorParameters!E$4*LN(G21)+SectorParameters!E$5*LN(NationalDataInterm!AB64))</f>
        <v>111.41185951682131</v>
      </c>
      <c r="I22" s="34">
        <f>SectorParameters!H$18+(SectorParameters!H$19*NationalDataInterm!AF64+SectorParameters!H$20*AN21)</f>
        <v>263.65962406473204</v>
      </c>
      <c r="J22" s="34">
        <f>SectorParameters!B$26+SectorParameters!B$27*NationalDataInterm!AE64</f>
        <v>637.4366440484562</v>
      </c>
      <c r="K22" s="34">
        <f>SectorParameters!E$26+SectorParameters!E$27*NationalDataInterm!AH64</f>
        <v>735.5124223282222</v>
      </c>
      <c r="L22" s="34">
        <f>SectorParameters!B$18+SectorParameters!B$19*NationalDataInterm!AI64</f>
        <v>296.27002736682726</v>
      </c>
      <c r="N22" s="100">
        <f t="shared" si="15"/>
        <v>3162</v>
      </c>
      <c r="O22" s="100"/>
      <c r="P22" s="98">
        <f>AnnualFactors!J23</f>
        <v>331.077</v>
      </c>
      <c r="Q22" s="100">
        <f t="shared" si="16"/>
        <v>3493.1</v>
      </c>
      <c r="R22" s="100">
        <f>ROUND((AnnualFactors!G23*Q22),1)</f>
        <v>189</v>
      </c>
      <c r="S22" s="100">
        <f t="shared" si="17"/>
        <v>3682.1</v>
      </c>
      <c r="T22" s="100">
        <f>ROUND(AnnualFactors!K23,1)</f>
        <v>83.6</v>
      </c>
      <c r="U22" s="100">
        <f t="shared" si="18"/>
        <v>3765.7</v>
      </c>
      <c r="V22" s="100"/>
      <c r="W22" s="100">
        <f>ROUND(AnnualFactors!B23*U22,1)</f>
        <v>225.9</v>
      </c>
      <c r="X22" s="100">
        <f t="shared" si="19"/>
        <v>3539.7999999999997</v>
      </c>
      <c r="Y22" s="100">
        <f>ROUND(AnnualFactors!F23*X22,1)</f>
        <v>235.8</v>
      </c>
      <c r="Z22" s="100">
        <f t="shared" si="20"/>
        <v>3303.9999999999995</v>
      </c>
      <c r="AB22" s="101">
        <f>AnnualFactors!C23</f>
        <v>0.8074</v>
      </c>
      <c r="AC22" s="100">
        <f t="shared" si="21"/>
        <v>4092.1</v>
      </c>
      <c r="AD22" s="102">
        <f>AnnualFactors!D23</f>
        <v>0.3361917555449752</v>
      </c>
      <c r="AE22" s="100">
        <f t="shared" si="22"/>
        <v>1375.7</v>
      </c>
      <c r="AF22" s="102">
        <f>AnnualFactors!E23</f>
        <v>0.17650919426995457</v>
      </c>
      <c r="AG22" s="98">
        <f t="shared" si="23"/>
        <v>722.3</v>
      </c>
      <c r="AH22" s="100">
        <f t="shared" si="24"/>
        <v>6190.1</v>
      </c>
      <c r="AI22" s="98">
        <f>ROUND(AnnualFactors!H23*AH22,1)</f>
        <v>124.4</v>
      </c>
      <c r="AJ22" s="100">
        <f t="shared" si="25"/>
        <v>6065.700000000001</v>
      </c>
      <c r="AK22" s="103">
        <f>AnnualFactors!I23</f>
        <v>2.6</v>
      </c>
      <c r="AL22" s="100">
        <f t="shared" si="26"/>
        <v>2333</v>
      </c>
      <c r="AN22" s="104">
        <f t="shared" si="27"/>
        <v>6000.6</v>
      </c>
      <c r="AO22" s="104">
        <f t="shared" si="28"/>
        <v>120.8</v>
      </c>
      <c r="AP22" s="104">
        <f t="shared" si="29"/>
        <v>5879.8</v>
      </c>
      <c r="AQ22" s="100">
        <f t="shared" si="30"/>
        <v>2261.4615384615386</v>
      </c>
      <c r="AS22" s="100">
        <f t="shared" si="0"/>
        <v>1333.585147251256</v>
      </c>
      <c r="AT22" s="100">
        <f t="shared" si="1"/>
        <v>3966.8269107122665</v>
      </c>
      <c r="AU22" s="100">
        <f t="shared" si="2"/>
        <v>700.1879420364776</v>
      </c>
      <c r="AV22" s="115">
        <f t="shared" si="3"/>
        <v>0.06661393299056445</v>
      </c>
      <c r="AW22" s="118">
        <v>0.078</v>
      </c>
      <c r="CH22" s="115">
        <f t="shared" si="9"/>
        <v>0.3361917555449752</v>
      </c>
      <c r="CI22" s="102">
        <v>0.1918</v>
      </c>
      <c r="CL22" s="115">
        <f t="shared" si="10"/>
        <v>0.17650919426995457</v>
      </c>
      <c r="CM22" s="119">
        <v>0.1233</v>
      </c>
      <c r="CO22" s="120">
        <f t="shared" si="11"/>
        <v>0.8074</v>
      </c>
      <c r="CP22" s="102">
        <v>0.8</v>
      </c>
      <c r="CU22" s="60">
        <f t="shared" si="31"/>
        <v>3765.7</v>
      </c>
      <c r="CV22" s="60">
        <f>CalculationsLow!U22</f>
        <v>3508.9</v>
      </c>
      <c r="CW22" s="60">
        <f>CalculationsHigh!U22</f>
        <v>4144.200000000001</v>
      </c>
      <c r="CY22" s="60">
        <f t="shared" si="13"/>
        <v>6000.6</v>
      </c>
      <c r="CZ22" s="60">
        <f>CalculationsLow!AN22</f>
        <v>5430.9</v>
      </c>
      <c r="DA22" s="60">
        <f>CalculationsHigh!AN22</f>
        <v>6760.8</v>
      </c>
      <c r="DC22" s="60">
        <f t="shared" si="14"/>
        <v>2261.4615384615386</v>
      </c>
      <c r="DD22" s="60">
        <f>CalculationsLow!AQ22</f>
        <v>2060.503875968992</v>
      </c>
      <c r="DE22" s="60">
        <f>CalculationsHigh!AQ22</f>
        <v>2502.4905660377362</v>
      </c>
    </row>
    <row r="23" spans="1:109" ht="12.75">
      <c r="A23">
        <v>2021</v>
      </c>
      <c r="B23" s="34">
        <f>SectorParameters!E$18+(SectorParameters!E$19*LN(A23))+SectorParameters!E$20*LN(NationalDataInterm!X65)</f>
        <v>53.57132471750549</v>
      </c>
      <c r="C23" s="34">
        <f>SectorParameters!E$11+(SectorParameters!E$12*NationalDataInterm!Z65+SectorParameters!E$13*B23)</f>
        <v>140.138479371975</v>
      </c>
      <c r="D23" s="34">
        <f>EXP(SectorParameters!B$11+SectorParameters!B$12*LN(NationalDataInterm!Y65))</f>
        <v>195.10204317509942</v>
      </c>
      <c r="E23" s="34">
        <f>SectorParameters!H$3+(SectorParameters!H$4*NationalDataInterm!AC65+SectorParameters!H$5*D22)</f>
        <v>172.82513242358584</v>
      </c>
      <c r="F23" s="34">
        <f>SectorParameters!H$11+SectorParameters!H$12*NationalDataInterm!AG65</f>
        <v>72.96407653523761</v>
      </c>
      <c r="G23" s="34">
        <f>SectorParameters!B$3+SectorParameters!B$4*NationalDataInterm!AA65</f>
        <v>486.4668586612957</v>
      </c>
      <c r="H23" s="34">
        <f>EXP(SectorParameters!E$3+SectorParameters!E$4*LN(G22)+SectorParameters!E$5*LN(NationalDataInterm!AB65))</f>
        <v>112.19164207696053</v>
      </c>
      <c r="I23" s="34">
        <f>SectorParameters!H$18+(SectorParameters!H$19*NationalDataInterm!AF65+SectorParameters!H$20*AN22)</f>
        <v>269.64326726947434</v>
      </c>
      <c r="J23" s="34">
        <f>SectorParameters!B$26+SectorParameters!B$27*NationalDataInterm!AE65</f>
        <v>654.4310817446747</v>
      </c>
      <c r="K23" s="34">
        <f>SectorParameters!E$26+SectorParameters!E$27*NationalDataInterm!AH65</f>
        <v>737.1852534203339</v>
      </c>
      <c r="L23" s="34">
        <f>SectorParameters!B$18+SectorParameters!B$19*NationalDataInterm!AI65</f>
        <v>297.65750352097126</v>
      </c>
      <c r="N23" s="34">
        <f t="shared" si="15"/>
        <v>3192.2</v>
      </c>
      <c r="O23" s="34"/>
      <c r="P23">
        <f>AnnualFactors!J24</f>
        <v>330.94300000000004</v>
      </c>
      <c r="Q23" s="34">
        <f t="shared" si="16"/>
        <v>3523.1</v>
      </c>
      <c r="R23" s="34">
        <f>ROUND((AnnualFactors!G24*Q23),1)</f>
        <v>190.6</v>
      </c>
      <c r="S23" s="34">
        <f t="shared" si="17"/>
        <v>3713.7</v>
      </c>
      <c r="T23" s="34">
        <f>ROUND(AnnualFactors!K24,1)</f>
        <v>83.7</v>
      </c>
      <c r="U23" s="34">
        <f t="shared" si="18"/>
        <v>3797.3999999999996</v>
      </c>
      <c r="V23" s="34"/>
      <c r="W23" s="34">
        <f>ROUND(AnnualFactors!B24*U23,1)</f>
        <v>227.8</v>
      </c>
      <c r="X23" s="34">
        <f t="shared" si="19"/>
        <v>3569.5999999999995</v>
      </c>
      <c r="Y23" s="60">
        <f>ROUND(AnnualFactors!F24*X23,1)</f>
        <v>238.7</v>
      </c>
      <c r="Z23" s="34">
        <f t="shared" si="20"/>
        <v>3330.8999999999996</v>
      </c>
      <c r="AB23" s="95">
        <f>AnnualFactors!C24</f>
        <v>0.8075599366242474</v>
      </c>
      <c r="AC23" s="34">
        <f t="shared" si="21"/>
        <v>4124.6</v>
      </c>
      <c r="AD23" s="8">
        <f>AnnualFactors!D24</f>
        <v>0.3392527688891418</v>
      </c>
      <c r="AE23" s="34">
        <f t="shared" si="22"/>
        <v>1399.3</v>
      </c>
      <c r="AF23" s="8">
        <f>AnnualFactors!E24</f>
        <v>0.18143020503210436</v>
      </c>
      <c r="AG23">
        <f t="shared" si="23"/>
        <v>748.3</v>
      </c>
      <c r="AH23" s="34">
        <f t="shared" si="24"/>
        <v>6272.200000000001</v>
      </c>
      <c r="AI23">
        <f>ROUND(AnnualFactors!H24*AH23,1)</f>
        <v>126.1</v>
      </c>
      <c r="AJ23" s="34">
        <f t="shared" si="25"/>
        <v>6146.1</v>
      </c>
      <c r="AK23" s="9">
        <f>AnnualFactors!I24</f>
        <v>2.6</v>
      </c>
      <c r="AL23" s="34">
        <f t="shared" si="26"/>
        <v>2363.9</v>
      </c>
      <c r="AN23" s="96">
        <f t="shared" si="27"/>
        <v>6080.2</v>
      </c>
      <c r="AO23" s="96">
        <f t="shared" si="28"/>
        <v>122.5</v>
      </c>
      <c r="AP23" s="96">
        <f t="shared" si="29"/>
        <v>5957.7</v>
      </c>
      <c r="AQ23" s="34">
        <f t="shared" si="30"/>
        <v>2291.4230769230767</v>
      </c>
      <c r="AS23" s="60">
        <f t="shared" si="0"/>
        <v>1356.465651605497</v>
      </c>
      <c r="AT23" s="60">
        <f t="shared" si="1"/>
        <v>3998.3407608175753</v>
      </c>
      <c r="AU23" s="60">
        <f t="shared" si="2"/>
        <v>725.3935875769266</v>
      </c>
      <c r="AV23" s="115">
        <f t="shared" si="3"/>
        <v>0.06687023756163156</v>
      </c>
      <c r="CH23" s="115">
        <f t="shared" si="9"/>
        <v>0.3392527688891418</v>
      </c>
      <c r="CL23" s="115">
        <f t="shared" si="10"/>
        <v>0.18143020503210436</v>
      </c>
      <c r="CO23" s="120">
        <f t="shared" si="11"/>
        <v>0.8075599366242474</v>
      </c>
      <c r="CU23" s="60">
        <f t="shared" si="31"/>
        <v>3797.3999999999996</v>
      </c>
      <c r="CV23" s="60">
        <f>CalculationsLow!U23</f>
        <v>3522</v>
      </c>
      <c r="CW23" s="60">
        <f>CalculationsHigh!U23</f>
        <v>4204.099999999999</v>
      </c>
      <c r="CY23" s="60">
        <f t="shared" si="13"/>
        <v>6080.2</v>
      </c>
      <c r="CZ23" s="60">
        <f>CalculationsLow!AN23</f>
        <v>5476.7</v>
      </c>
      <c r="DA23" s="60">
        <f>CalculationsHigh!AN23</f>
        <v>6891.8</v>
      </c>
      <c r="DC23" s="60">
        <f t="shared" si="14"/>
        <v>2291.4230769230767</v>
      </c>
      <c r="DD23" s="60">
        <f>CalculationsLow!AQ23</f>
        <v>2082.501369506482</v>
      </c>
      <c r="DE23" s="60">
        <f>CalculationsHigh!AQ23</f>
        <v>2551.2075471698113</v>
      </c>
    </row>
    <row r="24" spans="1:109" ht="12.75">
      <c r="A24">
        <v>2022</v>
      </c>
      <c r="B24" s="34">
        <f>SectorParameters!E$18+(SectorParameters!E$19*LN(A24))+SectorParameters!E$20*LN(NationalDataInterm!X66)</f>
        <v>52.60434648207229</v>
      </c>
      <c r="C24" s="34">
        <f>SectorParameters!E$11+(SectorParameters!E$12*NationalDataInterm!Z66+SectorParameters!E$13*B24)</f>
        <v>140.18997875098256</v>
      </c>
      <c r="D24" s="34">
        <f>EXP(SectorParameters!B$11+SectorParameters!B$12*LN(NationalDataInterm!Y66))</f>
        <v>195.8836730437924</v>
      </c>
      <c r="E24" s="34">
        <f>SectorParameters!H$3+(SectorParameters!H$4*NationalDataInterm!AC66+SectorParameters!H$5*D23)</f>
        <v>173.38960163298793</v>
      </c>
      <c r="F24" s="34">
        <f>SectorParameters!H$11+SectorParameters!H$12*NationalDataInterm!AG66</f>
        <v>73.05775511089202</v>
      </c>
      <c r="G24" s="34">
        <f>SectorParameters!B$3+SectorParameters!B$4*NationalDataInterm!AA66</f>
        <v>489.247746072214</v>
      </c>
      <c r="H24" s="34">
        <f>EXP(SectorParameters!E$3+SectorParameters!E$4*LN(G23)+SectorParameters!E$5*LN(NationalDataInterm!AB66))</f>
        <v>112.91207851301648</v>
      </c>
      <c r="I24" s="34">
        <f>SectorParameters!H$18+(SectorParameters!H$19*NationalDataInterm!AF66+SectorParameters!H$20*AN23)</f>
        <v>275.0889367710513</v>
      </c>
      <c r="J24" s="34">
        <f>SectorParameters!B$26+SectorParameters!B$27*NationalDataInterm!AE66</f>
        <v>671.7908758805388</v>
      </c>
      <c r="K24" s="34">
        <f>SectorParameters!E$26+SectorParameters!E$27*NationalDataInterm!AH66</f>
        <v>738.749309278249</v>
      </c>
      <c r="L24" s="34">
        <f>SectorParameters!B$18+SectorParameters!B$19*NationalDataInterm!AI66</f>
        <v>299.06124680326934</v>
      </c>
      <c r="N24" s="34">
        <f t="shared" si="15"/>
        <v>3222</v>
      </c>
      <c r="O24" s="34"/>
      <c r="P24">
        <f>AnnualFactors!J25</f>
        <v>330.81</v>
      </c>
      <c r="Q24" s="34">
        <f t="shared" si="16"/>
        <v>3552.8</v>
      </c>
      <c r="R24" s="34">
        <f>ROUND((AnnualFactors!G25*Q24),1)</f>
        <v>192.2</v>
      </c>
      <c r="S24" s="34">
        <f t="shared" si="17"/>
        <v>3745</v>
      </c>
      <c r="T24" s="34">
        <f>ROUND(AnnualFactors!K25,1)</f>
        <v>83.8</v>
      </c>
      <c r="U24" s="34">
        <f t="shared" si="18"/>
        <v>3828.8</v>
      </c>
      <c r="V24" s="34"/>
      <c r="W24" s="34">
        <f>ROUND(AnnualFactors!B25*U24,1)</f>
        <v>229.7</v>
      </c>
      <c r="X24" s="34">
        <f t="shared" si="19"/>
        <v>3599.1000000000004</v>
      </c>
      <c r="Y24" s="60">
        <f>ROUND(AnnualFactors!F25*X24,1)</f>
        <v>241.6</v>
      </c>
      <c r="Z24" s="34">
        <f t="shared" si="20"/>
        <v>3357.5000000000005</v>
      </c>
      <c r="AB24" s="95">
        <f>AnnualFactors!C25</f>
        <v>0.8077199049300947</v>
      </c>
      <c r="AC24" s="34">
        <f t="shared" si="21"/>
        <v>4156.8</v>
      </c>
      <c r="AD24" s="8">
        <f>AnnualFactors!D25</f>
        <v>0.3423416526451749</v>
      </c>
      <c r="AE24" s="34">
        <f t="shared" si="22"/>
        <v>1423</v>
      </c>
      <c r="AF24" s="8">
        <f>AnnualFactors!E25</f>
        <v>0.18648841174612144</v>
      </c>
      <c r="AG24">
        <f t="shared" si="23"/>
        <v>775.2</v>
      </c>
      <c r="AH24" s="34">
        <f t="shared" si="24"/>
        <v>6355</v>
      </c>
      <c r="AI24">
        <f>ROUND(AnnualFactors!H25*AH24,1)</f>
        <v>127.7</v>
      </c>
      <c r="AJ24" s="34">
        <f t="shared" si="25"/>
        <v>6227.3</v>
      </c>
      <c r="AK24" s="9">
        <f>AnnualFactors!I25</f>
        <v>2.6</v>
      </c>
      <c r="AL24" s="34">
        <f t="shared" si="26"/>
        <v>2395.1</v>
      </c>
      <c r="AN24" s="96">
        <f t="shared" si="27"/>
        <v>6160.5</v>
      </c>
      <c r="AO24" s="96">
        <f t="shared" si="28"/>
        <v>124</v>
      </c>
      <c r="AP24" s="96">
        <f t="shared" si="29"/>
        <v>6036.5</v>
      </c>
      <c r="AQ24" s="34">
        <f t="shared" si="30"/>
        <v>2321.730769230769</v>
      </c>
      <c r="AS24" s="60">
        <f t="shared" si="0"/>
        <v>1379.4479150275374</v>
      </c>
      <c r="AT24" s="60">
        <f t="shared" si="1"/>
        <v>4029.5777183320224</v>
      </c>
      <c r="AU24" s="60">
        <f t="shared" si="2"/>
        <v>751.4743666404406</v>
      </c>
      <c r="AV24" s="115">
        <f t="shared" si="3"/>
        <v>0.0671278930843822</v>
      </c>
      <c r="CH24" s="115">
        <f t="shared" si="9"/>
        <v>0.3423416526451749</v>
      </c>
      <c r="CL24" s="115">
        <f t="shared" si="10"/>
        <v>0.18648841174612144</v>
      </c>
      <c r="CO24" s="120">
        <f t="shared" si="11"/>
        <v>0.8077199049300947</v>
      </c>
      <c r="CU24" s="60">
        <f t="shared" si="31"/>
        <v>3828.8</v>
      </c>
      <c r="CV24" s="60">
        <f>CalculationsLow!U24</f>
        <v>3534.2000000000003</v>
      </c>
      <c r="CW24" s="60">
        <f>CalculationsHigh!U24</f>
        <v>4265.1</v>
      </c>
      <c r="CY24" s="60">
        <f t="shared" si="13"/>
        <v>6160.5</v>
      </c>
      <c r="CZ24" s="60">
        <f>CalculationsLow!AN24</f>
        <v>5521.7</v>
      </c>
      <c r="DA24" s="60">
        <f>CalculationsHigh!AN24</f>
        <v>7026.1</v>
      </c>
      <c r="DC24" s="60">
        <f t="shared" si="14"/>
        <v>2321.730769230769</v>
      </c>
      <c r="DD24" s="60">
        <f>CalculationsLow!AQ24</f>
        <v>2104.356946968457</v>
      </c>
      <c r="DE24" s="60">
        <f>CalculationsHigh!AQ24</f>
        <v>2601.2075471698117</v>
      </c>
    </row>
    <row r="25" spans="1:109" ht="12.75">
      <c r="A25">
        <v>2023</v>
      </c>
      <c r="B25" s="34">
        <f>SectorParameters!E$18+(SectorParameters!E$19*LN(A25))+SectorParameters!E$20*LN(NationalDataInterm!X67)</f>
        <v>51.641684338142454</v>
      </c>
      <c r="C25" s="34">
        <f>SectorParameters!E$11+(SectorParameters!E$12*NationalDataInterm!Z67+SectorParameters!E$13*B25)</f>
        <v>140.2274643061229</v>
      </c>
      <c r="D25" s="34">
        <f>EXP(SectorParameters!B$11+SectorParameters!B$12*LN(NationalDataInterm!Y67))</f>
        <v>196.6760876662553</v>
      </c>
      <c r="E25" s="34">
        <f>SectorParameters!H$3+(SectorParameters!H$4*NationalDataInterm!AC67+SectorParameters!H$5*D24)</f>
        <v>173.96194548441306</v>
      </c>
      <c r="F25" s="34">
        <f>SectorParameters!H$11+SectorParameters!H$12*NationalDataInterm!AG67</f>
        <v>73.15543973775515</v>
      </c>
      <c r="G25" s="34">
        <f>SectorParameters!B$3+SectorParameters!B$4*NationalDataInterm!AA67</f>
        <v>492.03387955530735</v>
      </c>
      <c r="H25" s="34">
        <f>EXP(SectorParameters!E$3+SectorParameters!E$4*LN(G24)+SectorParameters!E$5*LN(NationalDataInterm!AB67))</f>
        <v>113.628964118999</v>
      </c>
      <c r="I25" s="34">
        <f>SectorParameters!H$18+(SectorParameters!H$19*NationalDataInterm!AF67+SectorParameters!H$20*AN24)</f>
        <v>280.59756615042164</v>
      </c>
      <c r="J25" s="34">
        <f>SectorParameters!B$26+SectorParameters!B$27*NationalDataInterm!AE67</f>
        <v>689.5231590469896</v>
      </c>
      <c r="K25" s="34">
        <f>SectorParameters!E$26+SectorParameters!E$27*NationalDataInterm!AH67</f>
        <v>740.2001077111743</v>
      </c>
      <c r="L25" s="34">
        <f>SectorParameters!B$18+SectorParameters!B$19*NationalDataInterm!AI67</f>
        <v>300.48116827184697</v>
      </c>
      <c r="N25" s="34">
        <f t="shared" si="15"/>
        <v>3252.1</v>
      </c>
      <c r="O25" s="34"/>
      <c r="P25">
        <f>AnnualFactors!J26</f>
        <v>330.676</v>
      </c>
      <c r="Q25" s="34">
        <f t="shared" si="16"/>
        <v>3582.8</v>
      </c>
      <c r="R25" s="34">
        <f>ROUND((AnnualFactors!G26*Q25),1)</f>
        <v>193.8</v>
      </c>
      <c r="S25" s="34">
        <f t="shared" si="17"/>
        <v>3776.6000000000004</v>
      </c>
      <c r="T25" s="34">
        <f>ROUND(AnnualFactors!K26,1)</f>
        <v>83.8</v>
      </c>
      <c r="U25" s="34">
        <f t="shared" si="18"/>
        <v>3860.4000000000005</v>
      </c>
      <c r="V25" s="34"/>
      <c r="W25" s="34">
        <f>ROUND(AnnualFactors!B26*U25,1)</f>
        <v>231.6</v>
      </c>
      <c r="X25" s="34">
        <f t="shared" si="19"/>
        <v>3628.8000000000006</v>
      </c>
      <c r="Y25" s="60">
        <f>ROUND(AnnualFactors!F26*X25,1)</f>
        <v>244.6</v>
      </c>
      <c r="Z25" s="34">
        <f t="shared" si="20"/>
        <v>3384.2000000000007</v>
      </c>
      <c r="AB25" s="95">
        <f>AnnualFactors!C26</f>
        <v>0.8078799049238177</v>
      </c>
      <c r="AC25" s="34">
        <f t="shared" si="21"/>
        <v>4189</v>
      </c>
      <c r="AD25" s="8">
        <f>AnnualFactors!D26</f>
        <v>0.3454586605721308</v>
      </c>
      <c r="AE25" s="34">
        <f t="shared" si="22"/>
        <v>1447.1</v>
      </c>
      <c r="AF25" s="8">
        <f>AnnualFactors!E26</f>
        <v>0.19168763938417485</v>
      </c>
      <c r="AG25">
        <f t="shared" si="23"/>
        <v>803</v>
      </c>
      <c r="AH25" s="34">
        <f t="shared" si="24"/>
        <v>6439.1</v>
      </c>
      <c r="AI25">
        <f>ROUND(AnnualFactors!H26*AH25,1)</f>
        <v>129.4</v>
      </c>
      <c r="AJ25" s="34">
        <f t="shared" si="25"/>
        <v>6309.700000000001</v>
      </c>
      <c r="AK25" s="9">
        <f>AnnualFactors!I26</f>
        <v>2.6</v>
      </c>
      <c r="AL25" s="34">
        <f t="shared" si="26"/>
        <v>2426.8</v>
      </c>
      <c r="AN25" s="96">
        <f t="shared" si="27"/>
        <v>6242</v>
      </c>
      <c r="AO25" s="96">
        <f t="shared" si="28"/>
        <v>125.7</v>
      </c>
      <c r="AP25" s="96">
        <f t="shared" si="29"/>
        <v>6116.3</v>
      </c>
      <c r="AQ25" s="34">
        <f t="shared" si="30"/>
        <v>2352.423076923077</v>
      </c>
      <c r="AS25" s="60">
        <f t="shared" si="0"/>
        <v>1402.804460250656</v>
      </c>
      <c r="AT25" s="60">
        <f t="shared" si="1"/>
        <v>4060.7752636237983</v>
      </c>
      <c r="AU25" s="60">
        <f t="shared" si="2"/>
        <v>778.4202761255455</v>
      </c>
      <c r="AV25" s="115">
        <f t="shared" si="3"/>
        <v>0.06740520282186947</v>
      </c>
      <c r="CH25" s="115">
        <f t="shared" si="9"/>
        <v>0.3454586605721308</v>
      </c>
      <c r="CL25" s="115">
        <f t="shared" si="10"/>
        <v>0.19168763938417485</v>
      </c>
      <c r="CO25" s="120">
        <f t="shared" si="11"/>
        <v>0.8078799049238177</v>
      </c>
      <c r="CU25" s="60">
        <f t="shared" si="31"/>
        <v>3860.4000000000005</v>
      </c>
      <c r="CV25" s="60">
        <f>CalculationsLow!U25</f>
        <v>3545.9</v>
      </c>
      <c r="CW25" s="60">
        <f>CalculationsHigh!U25</f>
        <v>4327.7</v>
      </c>
      <c r="CY25" s="60">
        <f t="shared" si="13"/>
        <v>6242</v>
      </c>
      <c r="CZ25" s="60">
        <f>CalculationsLow!AN25</f>
        <v>5566.6</v>
      </c>
      <c r="DA25" s="60">
        <f>CalculationsHigh!AN25</f>
        <v>7164.6</v>
      </c>
      <c r="DC25" s="60">
        <f t="shared" si="14"/>
        <v>2352.423076923077</v>
      </c>
      <c r="DD25" s="60">
        <f>CalculationsLow!AQ25</f>
        <v>2126.186373735262</v>
      </c>
      <c r="DE25" s="60">
        <f>CalculationsHigh!AQ25</f>
        <v>2652.7547169811323</v>
      </c>
    </row>
    <row r="26" spans="1:109" ht="12.75">
      <c r="A26">
        <v>2024</v>
      </c>
      <c r="B26" s="34">
        <f>SectorParameters!E$18+(SectorParameters!E$19*LN(A26))+SectorParameters!E$20*LN(NationalDataInterm!X68)</f>
        <v>50.68341279487481</v>
      </c>
      <c r="C26" s="34">
        <f>SectorParameters!E$11+(SectorParameters!E$12*NationalDataInterm!Z68+SectorParameters!E$13*B26)</f>
        <v>140.25136964467643</v>
      </c>
      <c r="D26" s="34">
        <f>EXP(SectorParameters!B$11+SectorParameters!B$12*LN(NationalDataInterm!Y68))</f>
        <v>197.4795189412432</v>
      </c>
      <c r="E26" s="34">
        <f>SectorParameters!H$3+(SectorParameters!H$4*NationalDataInterm!AC68+SectorParameters!H$5*D25)</f>
        <v>174.54227218656888</v>
      </c>
      <c r="F26" s="34">
        <f>SectorParameters!H$11+SectorParameters!H$12*NationalDataInterm!AG68</f>
        <v>73.2571316324752</v>
      </c>
      <c r="G26" s="34">
        <f>SectorParameters!B$3+SectorParameters!B$4*NationalDataInterm!AA68</f>
        <v>494.82507927588017</v>
      </c>
      <c r="H26" s="34">
        <f>EXP(SectorParameters!E$3+SectorParameters!E$4*LN(G25)+SectorParameters!E$5*LN(NationalDataInterm!AB68))</f>
        <v>114.34232092772075</v>
      </c>
      <c r="I26" s="34">
        <f>SectorParameters!H$18+(SectorParameters!H$19*NationalDataInterm!AF68+SectorParameters!H$20*AN25)</f>
        <v>286.1928633088118</v>
      </c>
      <c r="J26" s="34">
        <f>SectorParameters!B$26+SectorParameters!B$27*NationalDataInterm!AE68</f>
        <v>707.6370130046541</v>
      </c>
      <c r="K26" s="34">
        <f>SectorParameters!E$26+SectorParameters!E$27*NationalDataInterm!AH68</f>
        <v>741.5355313587625</v>
      </c>
      <c r="L26" s="34">
        <f>SectorParameters!B$18+SectorParameters!B$19*NationalDataInterm!AI68</f>
        <v>301.91759317483246</v>
      </c>
      <c r="N26" s="34">
        <f t="shared" si="15"/>
        <v>3282.7</v>
      </c>
      <c r="O26" s="34"/>
      <c r="P26">
        <f>AnnualFactors!J27</f>
        <v>330.54200000000003</v>
      </c>
      <c r="Q26" s="34">
        <f t="shared" si="16"/>
        <v>3613.2</v>
      </c>
      <c r="R26" s="34">
        <f>ROUND((AnnualFactors!G27*Q26),1)</f>
        <v>195.5</v>
      </c>
      <c r="S26" s="34">
        <f t="shared" si="17"/>
        <v>3808.7</v>
      </c>
      <c r="T26" s="34">
        <f>ROUND(AnnualFactors!K27,1)</f>
        <v>83.8</v>
      </c>
      <c r="U26" s="34">
        <f t="shared" si="18"/>
        <v>3892.5</v>
      </c>
      <c r="V26" s="34"/>
      <c r="W26" s="34">
        <f>ROUND(AnnualFactors!B27*U26,1)</f>
        <v>233.6</v>
      </c>
      <c r="X26" s="34">
        <f t="shared" si="19"/>
        <v>3658.9</v>
      </c>
      <c r="Y26" s="60">
        <f>ROUND(AnnualFactors!F27*X26,1)</f>
        <v>247.6</v>
      </c>
      <c r="Z26" s="34">
        <f t="shared" si="20"/>
        <v>3411.3</v>
      </c>
      <c r="AB26" s="95">
        <f>AnnualFactors!C27</f>
        <v>0.8080399366116934</v>
      </c>
      <c r="AC26" s="34">
        <f t="shared" si="21"/>
        <v>4221.7</v>
      </c>
      <c r="AD26" s="8">
        <f>AnnualFactors!D27</f>
        <v>0.3486040487395326</v>
      </c>
      <c r="AE26" s="34">
        <f t="shared" si="22"/>
        <v>1471.7</v>
      </c>
      <c r="AF26" s="8">
        <f>AnnualFactors!E27</f>
        <v>0.1970318195572367</v>
      </c>
      <c r="AG26">
        <f t="shared" si="23"/>
        <v>831.8</v>
      </c>
      <c r="AH26" s="34">
        <f t="shared" si="24"/>
        <v>6525.2</v>
      </c>
      <c r="AI26">
        <f>ROUND(AnnualFactors!H27*AH26,1)</f>
        <v>131.2</v>
      </c>
      <c r="AJ26" s="34">
        <f t="shared" si="25"/>
        <v>6394</v>
      </c>
      <c r="AK26" s="9">
        <f>AnnualFactors!I27</f>
        <v>2.6</v>
      </c>
      <c r="AL26" s="34">
        <f t="shared" si="26"/>
        <v>2459.2</v>
      </c>
      <c r="AN26" s="96">
        <f t="shared" si="27"/>
        <v>6325.5</v>
      </c>
      <c r="AO26" s="96">
        <f t="shared" si="28"/>
        <v>127.4</v>
      </c>
      <c r="AP26" s="96">
        <f t="shared" si="29"/>
        <v>6198.1</v>
      </c>
      <c r="AQ26" s="34">
        <f t="shared" si="30"/>
        <v>2383.8846153846152</v>
      </c>
      <c r="AS26" s="60">
        <f t="shared" si="0"/>
        <v>1426.6594663765097</v>
      </c>
      <c r="AT26" s="60">
        <f t="shared" si="1"/>
        <v>4092.4972951020654</v>
      </c>
      <c r="AU26" s="60">
        <f t="shared" si="2"/>
        <v>806.3432385214245</v>
      </c>
      <c r="AV26" s="115">
        <f t="shared" si="3"/>
        <v>0.06767061138593566</v>
      </c>
      <c r="CH26" s="115">
        <f t="shared" si="9"/>
        <v>0.3486040487395326</v>
      </c>
      <c r="CL26" s="115">
        <f t="shared" si="10"/>
        <v>0.1970318195572367</v>
      </c>
      <c r="CO26" s="120">
        <f t="shared" si="11"/>
        <v>0.8080399366116934</v>
      </c>
      <c r="CU26" s="60">
        <f t="shared" si="31"/>
        <v>3892.5</v>
      </c>
      <c r="CV26" s="60">
        <f>CalculationsLow!U26</f>
        <v>3557.1000000000004</v>
      </c>
      <c r="CW26" s="60">
        <f>CalculationsHigh!U26</f>
        <v>4392.3</v>
      </c>
      <c r="CY26" s="60">
        <f t="shared" si="13"/>
        <v>6325.5</v>
      </c>
      <c r="CZ26" s="60">
        <f>CalculationsLow!AN26</f>
        <v>5611.9</v>
      </c>
      <c r="DA26" s="60">
        <f>CalculationsHigh!AN26</f>
        <v>7308.3</v>
      </c>
      <c r="DC26" s="60">
        <f t="shared" si="14"/>
        <v>2383.8846153846152</v>
      </c>
      <c r="DD26" s="60">
        <f>CalculationsLow!AQ26</f>
        <v>2148.30212568997</v>
      </c>
      <c r="DE26" s="60">
        <f>CalculationsHigh!AQ26</f>
        <v>2706.2264150943397</v>
      </c>
    </row>
    <row r="27" spans="1:109" s="98" customFormat="1" ht="12.75">
      <c r="A27" s="98">
        <v>2025</v>
      </c>
      <c r="B27" s="34">
        <f>SectorParameters!E$18+(SectorParameters!E$19*LN(A27))+SectorParameters!E$20*LN(NationalDataInterm!X69)</f>
        <v>49.739186756174604</v>
      </c>
      <c r="C27" s="34">
        <f>SectorParameters!E$11+(SectorParameters!E$12*NationalDataInterm!Z69+SectorParameters!E$13*B27)</f>
        <v>140.26352866223553</v>
      </c>
      <c r="D27" s="34">
        <f>EXP(SectorParameters!B$11+SectorParameters!B$12*LN(NationalDataInterm!Y69))</f>
        <v>198.29409270313178</v>
      </c>
      <c r="E27" s="34">
        <f>SectorParameters!H$3+(SectorParameters!H$4*NationalDataInterm!AC69+SectorParameters!H$5*D26)</f>
        <v>175.13067865995376</v>
      </c>
      <c r="F27" s="34">
        <f>SectorParameters!H$11+SectorParameters!H$12*NationalDataInterm!AG69</f>
        <v>73.36281914173746</v>
      </c>
      <c r="G27" s="34">
        <f>SectorParameters!B$3+SectorParameters!B$4*NationalDataInterm!AA69</f>
        <v>497.6213867163241</v>
      </c>
      <c r="H27" s="34">
        <f>EXP(SectorParameters!E$3+SectorParameters!E$4*LN(G26)+SectorParameters!E$5*LN(NationalDataInterm!AB69))</f>
        <v>115.05219698574511</v>
      </c>
      <c r="I27" s="34">
        <f>SectorParameters!H$18+(SectorParameters!H$19*NationalDataInterm!AF69+SectorParameters!H$20*AN26)</f>
        <v>291.91197308573607</v>
      </c>
      <c r="J27" s="34">
        <f>SectorParameters!B$26+SectorParameters!B$27*NationalDataInterm!AE69</f>
        <v>726.139895664068</v>
      </c>
      <c r="K27" s="34">
        <f>SectorParameters!E$26+SectorParameters!E$27*NationalDataInterm!AH69</f>
        <v>742.7507465029958</v>
      </c>
      <c r="L27" s="34">
        <f>SectorParameters!B$18+SectorParameters!B$19*NationalDataInterm!AI69</f>
        <v>303.3707172925558</v>
      </c>
      <c r="N27" s="100">
        <f t="shared" si="15"/>
        <v>3313.6</v>
      </c>
      <c r="O27" s="100"/>
      <c r="P27" s="98">
        <f>AnnualFactors!J28</f>
        <v>330.41100000000006</v>
      </c>
      <c r="Q27" s="100">
        <f t="shared" si="16"/>
        <v>3644</v>
      </c>
      <c r="R27" s="100">
        <f>ROUND((AnnualFactors!G28*Q27),1)</f>
        <v>197.1</v>
      </c>
      <c r="S27" s="100">
        <f t="shared" si="17"/>
        <v>3841.1</v>
      </c>
      <c r="T27" s="100">
        <f>ROUND(AnnualFactors!K28,1)</f>
        <v>83.8</v>
      </c>
      <c r="U27" s="100">
        <f t="shared" si="18"/>
        <v>3924.9</v>
      </c>
      <c r="V27" s="100"/>
      <c r="W27" s="100">
        <f>ROUND(AnnualFactors!B28*U27,1)</f>
        <v>235.5</v>
      </c>
      <c r="X27" s="100">
        <f t="shared" si="19"/>
        <v>3689.4</v>
      </c>
      <c r="Y27" s="100">
        <f>ROUND(AnnualFactors!F28*X27,1)</f>
        <v>250.7</v>
      </c>
      <c r="Z27" s="100">
        <f t="shared" si="20"/>
        <v>3438.7000000000003</v>
      </c>
      <c r="AB27" s="101">
        <f>AnnualFactors!C28</f>
        <v>0.8082</v>
      </c>
      <c r="AC27" s="100">
        <f t="shared" si="21"/>
        <v>4254.8</v>
      </c>
      <c r="AD27" s="102">
        <f>AnnualFactors!D28</f>
        <v>0.3517780755484067</v>
      </c>
      <c r="AE27" s="100">
        <f t="shared" si="22"/>
        <v>1496.7</v>
      </c>
      <c r="AF27" s="102">
        <f>AnnualFactors!E28</f>
        <v>0.2025249934881323</v>
      </c>
      <c r="AG27" s="98">
        <f t="shared" si="23"/>
        <v>861.7</v>
      </c>
      <c r="AH27" s="100">
        <f t="shared" si="24"/>
        <v>6613.2</v>
      </c>
      <c r="AI27" s="98">
        <f>ROUND(AnnualFactors!H28*AH27,1)</f>
        <v>132.9</v>
      </c>
      <c r="AJ27" s="100">
        <f t="shared" si="25"/>
        <v>6480.3</v>
      </c>
      <c r="AK27" s="103">
        <f>AnnualFactors!I28</f>
        <v>2.6</v>
      </c>
      <c r="AL27" s="100">
        <f t="shared" si="26"/>
        <v>2492.4</v>
      </c>
      <c r="AN27" s="104">
        <f t="shared" si="27"/>
        <v>6410.8</v>
      </c>
      <c r="AO27" s="104">
        <f t="shared" si="28"/>
        <v>129.1</v>
      </c>
      <c r="AP27" s="104">
        <f t="shared" si="29"/>
        <v>6281.7</v>
      </c>
      <c r="AQ27" s="100">
        <f t="shared" si="30"/>
        <v>2416.0384615384614</v>
      </c>
      <c r="AS27" s="100">
        <f t="shared" si="0"/>
        <v>1450.8928143712576</v>
      </c>
      <c r="AT27" s="100">
        <f t="shared" si="1"/>
        <v>4124.579906852961</v>
      </c>
      <c r="AU27" s="100">
        <f t="shared" si="2"/>
        <v>835.3272787757819</v>
      </c>
      <c r="AV27" s="115">
        <f t="shared" si="3"/>
        <v>0.0679514284165447</v>
      </c>
      <c r="CH27" s="115">
        <f t="shared" si="9"/>
        <v>0.3517780755484067</v>
      </c>
      <c r="CL27" s="115">
        <f t="shared" si="10"/>
        <v>0.2025249934881323</v>
      </c>
      <c r="CO27" s="120">
        <f t="shared" si="11"/>
        <v>0.8082</v>
      </c>
      <c r="CU27" s="60">
        <f t="shared" si="31"/>
        <v>3924.9</v>
      </c>
      <c r="CV27" s="60">
        <f>CalculationsLow!U27</f>
        <v>3568.0000000000005</v>
      </c>
      <c r="CW27" s="60">
        <f>CalculationsHigh!U27</f>
        <v>4459</v>
      </c>
      <c r="CY27" s="60">
        <f t="shared" si="13"/>
        <v>6410.8</v>
      </c>
      <c r="CZ27" s="60">
        <f>CalculationsLow!AN27</f>
        <v>5657.3</v>
      </c>
      <c r="DA27" s="60">
        <f>CalculationsHigh!AN27</f>
        <v>7457.4</v>
      </c>
      <c r="DC27" s="60">
        <f t="shared" si="14"/>
        <v>2416.0384615384614</v>
      </c>
      <c r="DD27" s="60">
        <f>CalculationsLow!AQ27</f>
        <v>2170.509803921569</v>
      </c>
      <c r="DE27" s="60">
        <f>CalculationsHigh!AQ27</f>
        <v>2761.698113207547</v>
      </c>
    </row>
    <row r="28" spans="1:109" ht="12.75">
      <c r="A28">
        <v>2026</v>
      </c>
      <c r="B28" s="34">
        <f>SectorParameters!E$18+(SectorParameters!E$19*LN(A28))+SectorParameters!E$20*LN(NationalDataInterm!X70)</f>
        <v>48.27866562964198</v>
      </c>
      <c r="C28" s="34">
        <f>SectorParameters!E$11+(SectorParameters!E$12*NationalDataInterm!Z70+SectorParameters!E$13*B28)</f>
        <v>139.27338644805417</v>
      </c>
      <c r="D28" s="34">
        <f>EXP(SectorParameters!B$11+SectorParameters!B$12*LN(NationalDataInterm!Y70))</f>
        <v>197.9942805593967</v>
      </c>
      <c r="E28" s="34">
        <f>SectorParameters!H$3+(SectorParameters!H$4*NationalDataInterm!AC70+SectorParameters!H$5*D27)</f>
        <v>175.09508817800707</v>
      </c>
      <c r="F28" s="34">
        <f>SectorParameters!H$11+SectorParameters!H$12*NationalDataInterm!AG70</f>
        <v>73.23716489596502</v>
      </c>
      <c r="G28" s="34">
        <f>SectorParameters!B$3+SectorParameters!B$4*NationalDataInterm!AA70</f>
        <v>498.4972824101986</v>
      </c>
      <c r="H28" s="34">
        <f>EXP(SectorParameters!E$3+SectorParameters!E$4*LN(G27)+SectorParameters!E$5*LN(NationalDataInterm!AB70))</f>
        <v>115.50570901351061</v>
      </c>
      <c r="I28" s="34">
        <f>SectorParameters!H$18+(SectorParameters!H$19*NationalDataInterm!AF70+SectorParameters!H$20*AN27)</f>
        <v>297.265163316</v>
      </c>
      <c r="J28" s="34">
        <f>SectorParameters!B$26+SectorParameters!B$27*NationalDataInterm!AE70</f>
        <v>742.2808274753772</v>
      </c>
      <c r="K28" s="34">
        <f>SectorParameters!E$26+SectorParameters!E$27*NationalDataInterm!AH70</f>
        <v>740.5542365801543</v>
      </c>
      <c r="L28" s="34">
        <f>SectorParameters!B$18+SectorParameters!B$19*NationalDataInterm!AI70</f>
        <v>303.6701232550713</v>
      </c>
      <c r="N28" s="34">
        <f t="shared" si="15"/>
        <v>3331.7</v>
      </c>
      <c r="O28" s="34"/>
      <c r="P28">
        <f>AnnualFactors!J29</f>
        <v>330.41100000000006</v>
      </c>
      <c r="Q28" s="34">
        <f t="shared" si="16"/>
        <v>3662.1</v>
      </c>
      <c r="R28" s="34">
        <f>ROUND((AnnualFactors!G29*Q28),1)</f>
        <v>198.1</v>
      </c>
      <c r="S28" s="34">
        <f t="shared" si="17"/>
        <v>3860.2</v>
      </c>
      <c r="T28" s="34">
        <f>ROUND(AnnualFactors!K29,1)</f>
        <v>83.8</v>
      </c>
      <c r="U28" s="34">
        <f t="shared" si="18"/>
        <v>3944</v>
      </c>
      <c r="V28" s="34"/>
      <c r="W28" s="34">
        <f>ROUND(AnnualFactors!B29*U28,1)</f>
        <v>236.6</v>
      </c>
      <c r="X28" s="34">
        <f t="shared" si="19"/>
        <v>3707.4</v>
      </c>
      <c r="Y28" s="60">
        <f>ROUND(AnnualFactors!F29*X28,1)</f>
        <v>252.9</v>
      </c>
      <c r="Z28" s="34">
        <f t="shared" si="20"/>
        <v>3454.5</v>
      </c>
      <c r="AB28" s="95">
        <f>AnnualFactors!C29</f>
        <v>0.8083399515223446</v>
      </c>
      <c r="AC28" s="34">
        <f t="shared" si="21"/>
        <v>4273.6</v>
      </c>
      <c r="AD28" s="8">
        <f>AnnualFactors!D29</f>
        <v>0.3536286030525611</v>
      </c>
      <c r="AE28" s="34">
        <f t="shared" si="22"/>
        <v>1511.3</v>
      </c>
      <c r="AF28" s="8">
        <f>AnnualFactors!E29</f>
        <v>0.20594418323396868</v>
      </c>
      <c r="AG28">
        <f t="shared" si="23"/>
        <v>880.1</v>
      </c>
      <c r="AH28" s="34">
        <f t="shared" si="24"/>
        <v>6665.000000000001</v>
      </c>
      <c r="AI28">
        <f>ROUND(AnnualFactors!H29*AH28,1)</f>
        <v>134</v>
      </c>
      <c r="AJ28" s="34">
        <f t="shared" si="25"/>
        <v>6531.000000000001</v>
      </c>
      <c r="AK28" s="9">
        <f>AnnualFactors!I29</f>
        <v>2.6</v>
      </c>
      <c r="AL28" s="34">
        <f t="shared" si="26"/>
        <v>2511.9</v>
      </c>
      <c r="AN28" s="96">
        <f t="shared" si="27"/>
        <v>6461</v>
      </c>
      <c r="AO28" s="96">
        <f t="shared" si="28"/>
        <v>130.2</v>
      </c>
      <c r="AP28" s="96">
        <f t="shared" si="29"/>
        <v>6330.8</v>
      </c>
      <c r="AQ28" s="34">
        <f t="shared" si="30"/>
        <v>2434.923076923077</v>
      </c>
      <c r="AS28" s="60">
        <f t="shared" si="0"/>
        <v>1465.0426556639156</v>
      </c>
      <c r="AT28" s="60">
        <f t="shared" si="1"/>
        <v>4142.795138784696</v>
      </c>
      <c r="AU28" s="60">
        <f t="shared" si="2"/>
        <v>853.1622055513877</v>
      </c>
      <c r="AV28" s="115">
        <f t="shared" si="3"/>
        <v>0.06821492150833468</v>
      </c>
      <c r="CH28" s="115">
        <f t="shared" si="9"/>
        <v>0.3536286030525611</v>
      </c>
      <c r="CL28" s="115">
        <f t="shared" si="10"/>
        <v>0.20594418323396868</v>
      </c>
      <c r="CO28" s="120">
        <f t="shared" si="11"/>
        <v>0.8083399515223446</v>
      </c>
      <c r="CU28" s="60">
        <f t="shared" si="31"/>
        <v>3944</v>
      </c>
      <c r="CV28" s="60">
        <f>CalculationsLow!U28</f>
        <v>3565.8</v>
      </c>
      <c r="CW28" s="60">
        <f>CalculationsHigh!U28</f>
        <v>4511.8</v>
      </c>
      <c r="CY28" s="60">
        <f t="shared" si="13"/>
        <v>6461</v>
      </c>
      <c r="CZ28" s="60">
        <f>CalculationsLow!AN28</f>
        <v>5670.8</v>
      </c>
      <c r="DA28" s="60">
        <f>CalculationsHigh!AN28</f>
        <v>7567</v>
      </c>
      <c r="DC28" s="60">
        <f t="shared" si="14"/>
        <v>2434.923076923077</v>
      </c>
      <c r="DD28" s="60">
        <f>CalculationsLow!AQ28</f>
        <v>2175.5686274509803</v>
      </c>
      <c r="DE28" s="60">
        <f>CalculationsHigh!AQ28</f>
        <v>2802.4905660377362</v>
      </c>
    </row>
    <row r="29" spans="1:109" ht="12.75">
      <c r="A29">
        <v>2027</v>
      </c>
      <c r="B29" s="34">
        <f>SectorParameters!E$18+(SectorParameters!E$19*LN(A29))+SectorParameters!E$20*LN(NationalDataInterm!X71)</f>
        <v>46.80958247815806</v>
      </c>
      <c r="C29" s="34">
        <f>SectorParameters!E$11+(SectorParameters!E$12*NationalDataInterm!Z71+SectorParameters!E$13*B29)</f>
        <v>138.28006294818985</v>
      </c>
      <c r="D29" s="34">
        <f>EXP(SectorParameters!B$11+SectorParameters!B$12*LN(NationalDataInterm!Y71))</f>
        <v>197.6970789410876</v>
      </c>
      <c r="E29" s="34">
        <f>SectorParameters!H$3+(SectorParameters!H$4*NationalDataInterm!AC71+SectorParameters!H$5*D28)</f>
        <v>174.877427646308</v>
      </c>
      <c r="F29" s="34">
        <f>SectorParameters!H$11+SectorParameters!H$12*NationalDataInterm!AG71</f>
        <v>73.11408614283322</v>
      </c>
      <c r="G29" s="34">
        <f>SectorParameters!B$3+SectorParameters!B$4*NationalDataInterm!AA71</f>
        <v>499.3790988849376</v>
      </c>
      <c r="H29" s="34">
        <f>EXP(SectorParameters!E$3+SectorParameters!E$4*LN(G28)+SectorParameters!E$5*LN(NationalDataInterm!AB71))</f>
        <v>115.65776456213509</v>
      </c>
      <c r="I29" s="34">
        <f>SectorParameters!H$18+(SectorParameters!H$19*NationalDataInterm!AF71+SectorParameters!H$20*AN28)</f>
        <v>301.0273472928577</v>
      </c>
      <c r="J29" s="34">
        <f>SectorParameters!B$26+SectorParameters!B$27*NationalDataInterm!AE71</f>
        <v>758.6772513432973</v>
      </c>
      <c r="K29" s="34">
        <f>SectorParameters!E$26+SectorParameters!E$27*NationalDataInterm!AH71</f>
        <v>738.2192064834609</v>
      </c>
      <c r="L29" s="34">
        <f>SectorParameters!B$18+SectorParameters!B$19*NationalDataInterm!AI71</f>
        <v>303.9724955023795</v>
      </c>
      <c r="N29" s="34">
        <f t="shared" si="15"/>
        <v>3347.7</v>
      </c>
      <c r="O29" s="34"/>
      <c r="P29">
        <f>AnnualFactors!J30</f>
        <v>330.41100000000006</v>
      </c>
      <c r="Q29" s="34">
        <f t="shared" si="16"/>
        <v>3678.1</v>
      </c>
      <c r="R29" s="34">
        <f>ROUND((AnnualFactors!G30*Q29),1)</f>
        <v>199</v>
      </c>
      <c r="S29" s="34">
        <f t="shared" si="17"/>
        <v>3877.1</v>
      </c>
      <c r="T29" s="34">
        <f>ROUND(AnnualFactors!K30,1)</f>
        <v>83.8</v>
      </c>
      <c r="U29" s="34">
        <f t="shared" si="18"/>
        <v>3960.9</v>
      </c>
      <c r="V29" s="34"/>
      <c r="W29" s="34">
        <f>ROUND(AnnualFactors!B30*U29,1)</f>
        <v>237.7</v>
      </c>
      <c r="X29" s="34">
        <f t="shared" si="19"/>
        <v>3723.2000000000003</v>
      </c>
      <c r="Y29" s="60">
        <f>ROUND(AnnualFactors!F30*X29,1)</f>
        <v>255</v>
      </c>
      <c r="Z29" s="34">
        <f t="shared" si="20"/>
        <v>3468.2000000000003</v>
      </c>
      <c r="AB29" s="95">
        <f>AnnualFactors!C30</f>
        <v>0.80847992727932</v>
      </c>
      <c r="AC29" s="34">
        <f t="shared" si="21"/>
        <v>4289.8</v>
      </c>
      <c r="AD29" s="8">
        <f>AnnualFactors!D30</f>
        <v>0.35548886525106305</v>
      </c>
      <c r="AE29" s="34">
        <f t="shared" si="22"/>
        <v>1525</v>
      </c>
      <c r="AF29" s="8">
        <f>AnnualFactors!E30</f>
        <v>0.20942109848971213</v>
      </c>
      <c r="AG29">
        <f t="shared" si="23"/>
        <v>898.4</v>
      </c>
      <c r="AH29" s="34">
        <f t="shared" si="24"/>
        <v>6713.2</v>
      </c>
      <c r="AI29">
        <f>ROUND(AnnualFactors!H30*AH29,1)</f>
        <v>134.9</v>
      </c>
      <c r="AJ29" s="34">
        <f t="shared" si="25"/>
        <v>6578.3</v>
      </c>
      <c r="AK29" s="9">
        <f>AnnualFactors!I30</f>
        <v>2.6</v>
      </c>
      <c r="AL29" s="34">
        <f t="shared" si="26"/>
        <v>2530.1</v>
      </c>
      <c r="AN29" s="96">
        <f t="shared" si="27"/>
        <v>6507.7</v>
      </c>
      <c r="AO29" s="96">
        <f t="shared" si="28"/>
        <v>131</v>
      </c>
      <c r="AP29" s="96">
        <f t="shared" si="29"/>
        <v>6376.7</v>
      </c>
      <c r="AQ29" s="34">
        <f t="shared" si="30"/>
        <v>2452.576923076923</v>
      </c>
      <c r="AS29" s="60">
        <f t="shared" si="0"/>
        <v>1478.3177173330155</v>
      </c>
      <c r="AT29" s="60">
        <f t="shared" si="1"/>
        <v>4158.483504141095</v>
      </c>
      <c r="AU29" s="60">
        <f t="shared" si="2"/>
        <v>870.8987785258893</v>
      </c>
      <c r="AV29" s="115">
        <f t="shared" si="3"/>
        <v>0.06848947142243231</v>
      </c>
      <c r="CH29" s="115">
        <f t="shared" si="9"/>
        <v>0.35548886525106305</v>
      </c>
      <c r="CL29" s="115">
        <f t="shared" si="10"/>
        <v>0.20942109848971213</v>
      </c>
      <c r="CO29" s="120">
        <f t="shared" si="11"/>
        <v>0.80847992727932</v>
      </c>
      <c r="CU29" s="60">
        <f t="shared" si="31"/>
        <v>3960.9</v>
      </c>
      <c r="CV29" s="60">
        <f>CalculationsLow!U29</f>
        <v>3561.3</v>
      </c>
      <c r="CW29" s="60">
        <f>CalculationsHigh!U29</f>
        <v>4563.400000000001</v>
      </c>
      <c r="CY29" s="60">
        <f t="shared" si="13"/>
        <v>6507.7</v>
      </c>
      <c r="CZ29" s="60">
        <f>CalculationsLow!AN29</f>
        <v>5680.4</v>
      </c>
      <c r="DA29" s="60">
        <f>CalculationsHigh!AN29</f>
        <v>7675.1</v>
      </c>
      <c r="DC29" s="60">
        <f t="shared" si="14"/>
        <v>2452.576923076923</v>
      </c>
      <c r="DD29" s="60">
        <f>CalculationsLow!AQ29</f>
        <v>2179.098039215686</v>
      </c>
      <c r="DE29" s="60">
        <f>CalculationsHigh!AQ29</f>
        <v>2842.679245283019</v>
      </c>
    </row>
    <row r="30" spans="1:109" ht="12.75">
      <c r="A30">
        <v>2028</v>
      </c>
      <c r="B30" s="34">
        <f>SectorParameters!E$18+(SectorParameters!E$19*LN(A30))+SectorParameters!E$20*LN(NationalDataInterm!X72)</f>
        <v>45.35127393052039</v>
      </c>
      <c r="C30" s="34">
        <f>SectorParameters!E$11+(SectorParameters!E$12*NationalDataInterm!Z72+SectorParameters!E$13*B30)</f>
        <v>137.2943960471988</v>
      </c>
      <c r="D30" s="34">
        <f>EXP(SectorParameters!B$11+SectorParameters!B$12*LN(NationalDataInterm!Y72))</f>
        <v>197.40265250145612</v>
      </c>
      <c r="E30" s="34">
        <f>SectorParameters!H$3+(SectorParameters!H$4*NationalDataInterm!AC72+SectorParameters!H$5*D29)</f>
        <v>174.6618427847207</v>
      </c>
      <c r="F30" s="34">
        <f>SectorParameters!H$11+SectorParameters!H$12*NationalDataInterm!AG72</f>
        <v>72.9935732355207</v>
      </c>
      <c r="G30" s="34">
        <f>SectorParameters!B$3+SectorParameters!B$4*NationalDataInterm!AA72</f>
        <v>500.26727925330255</v>
      </c>
      <c r="H30" s="34">
        <f>EXP(SectorParameters!E$3+SectorParameters!E$4*LN(G29)+SectorParameters!E$5*LN(NationalDataInterm!AB72))</f>
        <v>115.81073428121424</v>
      </c>
      <c r="I30" s="34">
        <f>SectorParameters!H$18+(SectorParameters!H$19*NationalDataInterm!AF72+SectorParameters!H$20*AN29)</f>
        <v>304.6473442771536</v>
      </c>
      <c r="J30" s="34">
        <f>SectorParameters!B$26+SectorParameters!B$27*NationalDataInterm!AE72</f>
        <v>775.333537524512</v>
      </c>
      <c r="K30" s="34">
        <f>SectorParameters!E$26+SectorParameters!E$27*NationalDataInterm!AH72</f>
        <v>735.7437705870067</v>
      </c>
      <c r="L30" s="34">
        <f>SectorParameters!B$18+SectorParameters!B$19*NationalDataInterm!AI72</f>
        <v>304.27805916051597</v>
      </c>
      <c r="N30" s="34">
        <f t="shared" si="15"/>
        <v>3363.8</v>
      </c>
      <c r="O30" s="34"/>
      <c r="P30">
        <f>AnnualFactors!J31</f>
        <v>330.41100000000006</v>
      </c>
      <c r="Q30" s="34">
        <f t="shared" si="16"/>
        <v>3694.2</v>
      </c>
      <c r="R30" s="34">
        <f>ROUND((AnnualFactors!G31*Q30),1)</f>
        <v>199.9</v>
      </c>
      <c r="S30" s="34">
        <f t="shared" si="17"/>
        <v>3894.1</v>
      </c>
      <c r="T30" s="34">
        <f>ROUND(AnnualFactors!K31,1)</f>
        <v>83.8</v>
      </c>
      <c r="U30" s="34">
        <f t="shared" si="18"/>
        <v>3977.9</v>
      </c>
      <c r="V30" s="34"/>
      <c r="W30" s="34">
        <f>ROUND(AnnualFactors!B31*U30,1)</f>
        <v>238.7</v>
      </c>
      <c r="X30" s="34">
        <f t="shared" si="19"/>
        <v>3739.2000000000003</v>
      </c>
      <c r="Y30" s="60">
        <f>ROUND(AnnualFactors!F31*X30,1)</f>
        <v>257.1</v>
      </c>
      <c r="Z30" s="34">
        <f t="shared" si="20"/>
        <v>3482.1000000000004</v>
      </c>
      <c r="AB30" s="95">
        <f>AnnualFactors!C31</f>
        <v>0.8086199272751228</v>
      </c>
      <c r="AC30" s="34">
        <f t="shared" si="21"/>
        <v>4306.2</v>
      </c>
      <c r="AD30" s="8">
        <f>AnnualFactors!D31</f>
        <v>0.35735891335324277</v>
      </c>
      <c r="AE30" s="34">
        <f t="shared" si="22"/>
        <v>1538.9</v>
      </c>
      <c r="AF30" s="8">
        <f>AnnualFactors!E31</f>
        <v>0.2129567138238253</v>
      </c>
      <c r="AG30">
        <f t="shared" si="23"/>
        <v>917</v>
      </c>
      <c r="AH30" s="34">
        <f t="shared" si="24"/>
        <v>6762.1</v>
      </c>
      <c r="AI30">
        <f>ROUND(AnnualFactors!H31*AH30,1)</f>
        <v>135.9</v>
      </c>
      <c r="AJ30" s="34">
        <f t="shared" si="25"/>
        <v>6626.200000000001</v>
      </c>
      <c r="AK30" s="9">
        <f>AnnualFactors!I31</f>
        <v>2.6</v>
      </c>
      <c r="AL30" s="34">
        <f t="shared" si="26"/>
        <v>2548.5</v>
      </c>
      <c r="AN30" s="96">
        <f t="shared" si="27"/>
        <v>6555.1</v>
      </c>
      <c r="AO30" s="96">
        <f t="shared" si="28"/>
        <v>132</v>
      </c>
      <c r="AP30" s="96">
        <f t="shared" si="29"/>
        <v>6423.1</v>
      </c>
      <c r="AQ30" s="34">
        <f t="shared" si="30"/>
        <v>2470.423076923077</v>
      </c>
      <c r="AS30" s="60">
        <f t="shared" si="0"/>
        <v>1491.7915129915264</v>
      </c>
      <c r="AT30" s="60">
        <f t="shared" si="1"/>
        <v>4174.379500451044</v>
      </c>
      <c r="AU30" s="60">
        <f t="shared" si="2"/>
        <v>888.9289865574303</v>
      </c>
      <c r="AV30" s="115">
        <f t="shared" si="3"/>
        <v>0.06875802310654686</v>
      </c>
      <c r="CH30" s="115">
        <f t="shared" si="9"/>
        <v>0.35735891335324277</v>
      </c>
      <c r="CL30" s="115">
        <f t="shared" si="10"/>
        <v>0.2129567138238253</v>
      </c>
      <c r="CO30" s="120">
        <f t="shared" si="11"/>
        <v>0.8086199272751228</v>
      </c>
      <c r="CU30" s="60">
        <f t="shared" si="31"/>
        <v>3977.9</v>
      </c>
      <c r="CV30" s="60">
        <f>CalculationsLow!U30</f>
        <v>3556.2</v>
      </c>
      <c r="CW30" s="60">
        <f>CalculationsHigh!U30</f>
        <v>4616.1</v>
      </c>
      <c r="CY30" s="60">
        <f t="shared" si="13"/>
        <v>6555.1</v>
      </c>
      <c r="CZ30" s="60">
        <f>CalculationsLow!AN30</f>
        <v>5689.7</v>
      </c>
      <c r="DA30" s="60">
        <f>CalculationsHigh!AN30</f>
        <v>7785.7</v>
      </c>
      <c r="DC30" s="60">
        <f t="shared" si="14"/>
        <v>2470.423076923077</v>
      </c>
      <c r="DD30" s="60">
        <f>CalculationsLow!AQ30</f>
        <v>2182.5882352941176</v>
      </c>
      <c r="DE30" s="60">
        <f>CalculationsHigh!AQ30</f>
        <v>2883.8490566037735</v>
      </c>
    </row>
    <row r="31" spans="1:109" ht="12.75">
      <c r="A31">
        <v>2029</v>
      </c>
      <c r="B31" s="34">
        <f>SectorParameters!E$18+(SectorParameters!E$19*LN(A31))+SectorParameters!E$20*LN(NationalDataInterm!X73)</f>
        <v>43.88449778600307</v>
      </c>
      <c r="C31" s="34">
        <f>SectorParameters!E$11+(SectorParameters!E$12*NationalDataInterm!Z73+SectorParameters!E$13*B31)</f>
        <v>136.30550147381578</v>
      </c>
      <c r="D31" s="34">
        <f>EXP(SectorParameters!B$11+SectorParameters!B$12*LN(NationalDataInterm!Y73))</f>
        <v>197.1109124415514</v>
      </c>
      <c r="E31" s="34">
        <f>SectorParameters!H$3+(SectorParameters!H$4*NationalDataInterm!AC73+SectorParameters!H$5*D30)</f>
        <v>174.44830701336568</v>
      </c>
      <c r="F31" s="34">
        <f>SectorParameters!H$11+SectorParameters!H$12*NationalDataInterm!AG73</f>
        <v>72.87555601356183</v>
      </c>
      <c r="G31" s="34">
        <f>SectorParameters!B$3+SectorParameters!B$4*NationalDataInterm!AA73</f>
        <v>501.1616235603338</v>
      </c>
      <c r="H31" s="34">
        <f>EXP(SectorParameters!E$3+SectorParameters!E$4*LN(G30)+SectorParameters!E$5*LN(NationalDataInterm!AB73))</f>
        <v>115.96528867564314</v>
      </c>
      <c r="I31" s="34">
        <f>SectorParameters!H$18+(SectorParameters!H$19*NationalDataInterm!AF73+SectorParameters!H$20*AN30)</f>
        <v>308.3178815776016</v>
      </c>
      <c r="J31" s="34">
        <f>SectorParameters!B$26+SectorParameters!B$27*NationalDataInterm!AE73</f>
        <v>792.2533562745002</v>
      </c>
      <c r="K31" s="34">
        <f>SectorParameters!E$26+SectorParameters!E$27*NationalDataInterm!AH73</f>
        <v>733.1250898567198</v>
      </c>
      <c r="L31" s="34">
        <f>SectorParameters!B$18+SectorParameters!B$19*NationalDataInterm!AI73</f>
        <v>304.58672701967214</v>
      </c>
      <c r="N31" s="34">
        <f t="shared" si="15"/>
        <v>3380</v>
      </c>
      <c r="O31" s="34"/>
      <c r="P31">
        <f>AnnualFactors!J32</f>
        <v>330.41100000000006</v>
      </c>
      <c r="Q31" s="34">
        <f t="shared" si="16"/>
        <v>3710.4</v>
      </c>
      <c r="R31" s="34">
        <f>ROUND((AnnualFactors!G32*Q31),1)</f>
        <v>200.7</v>
      </c>
      <c r="S31" s="34">
        <f t="shared" si="17"/>
        <v>3911.1</v>
      </c>
      <c r="T31" s="34">
        <f>ROUND(AnnualFactors!K32,1)</f>
        <v>83.8</v>
      </c>
      <c r="U31" s="34">
        <f t="shared" si="18"/>
        <v>3994.9</v>
      </c>
      <c r="V31" s="34"/>
      <c r="W31" s="34">
        <f>ROUND(AnnualFactors!B32*U31,1)</f>
        <v>239.7</v>
      </c>
      <c r="X31" s="34">
        <f t="shared" si="19"/>
        <v>3755.2000000000003</v>
      </c>
      <c r="Y31" s="60">
        <f>ROUND(AnnualFactors!F32*X31,1)</f>
        <v>259.2</v>
      </c>
      <c r="Z31" s="34">
        <f t="shared" si="20"/>
        <v>3496.0000000000005</v>
      </c>
      <c r="AB31" s="95">
        <f>AnnualFactors!C32</f>
        <v>0.8087599515139502</v>
      </c>
      <c r="AC31" s="34">
        <f t="shared" si="21"/>
        <v>4322.7</v>
      </c>
      <c r="AD31" s="8">
        <f>AnnualFactors!D32</f>
        <v>0.359238798837817</v>
      </c>
      <c r="AE31" s="34">
        <f t="shared" si="22"/>
        <v>1552.9</v>
      </c>
      <c r="AF31" s="8">
        <f>AnnualFactors!E32</f>
        <v>0.21655202025821907</v>
      </c>
      <c r="AG31">
        <f t="shared" si="23"/>
        <v>936.1</v>
      </c>
      <c r="AH31" s="34">
        <f t="shared" si="24"/>
        <v>6811.700000000001</v>
      </c>
      <c r="AI31">
        <f>ROUND(AnnualFactors!H32*AH31,1)</f>
        <v>136.9</v>
      </c>
      <c r="AJ31" s="34">
        <f t="shared" si="25"/>
        <v>6674.800000000001</v>
      </c>
      <c r="AK31" s="9">
        <f>AnnualFactors!I32</f>
        <v>2.6</v>
      </c>
      <c r="AL31" s="34">
        <f t="shared" si="26"/>
        <v>2567.2</v>
      </c>
      <c r="AN31" s="96">
        <f t="shared" si="27"/>
        <v>6603.2</v>
      </c>
      <c r="AO31" s="96">
        <f t="shared" si="28"/>
        <v>133</v>
      </c>
      <c r="AP31" s="96">
        <f t="shared" si="29"/>
        <v>6470.2</v>
      </c>
      <c r="AQ31" s="34">
        <f t="shared" si="30"/>
        <v>2488.5384615384614</v>
      </c>
      <c r="AS31" s="60">
        <f t="shared" si="0"/>
        <v>1505.3671300850006</v>
      </c>
      <c r="AT31" s="60">
        <f t="shared" si="1"/>
        <v>4190.386047535856</v>
      </c>
      <c r="AU31" s="60">
        <f t="shared" si="2"/>
        <v>907.4468223791417</v>
      </c>
      <c r="AV31" s="115">
        <f t="shared" si="3"/>
        <v>0.06902428632296548</v>
      </c>
      <c r="CH31" s="115">
        <f t="shared" si="9"/>
        <v>0.359238798837817</v>
      </c>
      <c r="CL31" s="115">
        <f t="shared" si="10"/>
        <v>0.21655202025821907</v>
      </c>
      <c r="CO31" s="120">
        <f t="shared" si="11"/>
        <v>0.8087599515139502</v>
      </c>
      <c r="CU31" s="60">
        <f t="shared" si="31"/>
        <v>3994.9</v>
      </c>
      <c r="CV31" s="60">
        <f>CalculationsLow!U31</f>
        <v>3550.8</v>
      </c>
      <c r="CW31" s="60">
        <f>CalculationsHigh!U31</f>
        <v>4670.400000000001</v>
      </c>
      <c r="CY31" s="60">
        <f t="shared" si="13"/>
        <v>6603.2</v>
      </c>
      <c r="CZ31" s="60">
        <f>CalculationsLow!AN31</f>
        <v>5698.7</v>
      </c>
      <c r="DA31" s="60">
        <f>CalculationsHigh!AN31</f>
        <v>7900</v>
      </c>
      <c r="DC31" s="60">
        <f t="shared" si="14"/>
        <v>2488.5384615384614</v>
      </c>
      <c r="DD31" s="60">
        <f>CalculationsLow!AQ31</f>
        <v>2185.8823529411766</v>
      </c>
      <c r="DE31" s="60">
        <f>CalculationsHigh!AQ31</f>
        <v>2926.33962264151</v>
      </c>
    </row>
    <row r="32" spans="1:109" s="98" customFormat="1" ht="12.75">
      <c r="A32" s="98">
        <v>2030</v>
      </c>
      <c r="B32" s="34">
        <f>SectorParameters!E$18+(SectorParameters!E$19*LN(A32))+SectorParameters!E$20*LN(NationalDataInterm!X74)</f>
        <v>42.428569852981354</v>
      </c>
      <c r="C32" s="34">
        <f>SectorParameters!E$11+(SectorParameters!E$12*NationalDataInterm!Z74+SectorParameters!E$13*B32)</f>
        <v>135.3242889509929</v>
      </c>
      <c r="D32" s="34">
        <f>EXP(SectorParameters!B$11+SectorParameters!B$12*LN(NationalDataInterm!Y74))</f>
        <v>196.82210768860114</v>
      </c>
      <c r="E32" s="34">
        <f>SectorParameters!H$3+(SectorParameters!H$4*NationalDataInterm!AC74+SectorParameters!H$5*D31)</f>
        <v>174.2369633649948</v>
      </c>
      <c r="F32" s="34">
        <f>SectorParameters!H$11+SectorParameters!H$12*NationalDataInterm!AG74</f>
        <v>73.80839861987627</v>
      </c>
      <c r="G32" s="34">
        <f>SectorParameters!B$3+SectorParameters!B$4*NationalDataInterm!AA74</f>
        <v>502.0628888372687</v>
      </c>
      <c r="H32" s="34">
        <f>EXP(SectorParameters!E$3+SectorParameters!E$4*LN(G31)+SectorParameters!E$5*LN(NationalDataInterm!AB74))</f>
        <v>116.12078618852509</v>
      </c>
      <c r="I32" s="34">
        <f>SectorParameters!H$18+(SectorParameters!H$19*NationalDataInterm!AF74+SectorParameters!H$20*AN31)</f>
        <v>314.4028336338056</v>
      </c>
      <c r="J32" s="34">
        <f>SectorParameters!B$26+SectorParameters!B$27*NationalDataInterm!AE74</f>
        <v>809.441444183473</v>
      </c>
      <c r="K32" s="34">
        <f>SectorParameters!E$26+SectorParameters!E$27*NationalDataInterm!AH74</f>
        <v>717.0748902853677</v>
      </c>
      <c r="L32" s="34">
        <f>SectorParameters!B$18+SectorParameters!B$19*NationalDataInterm!AI74</f>
        <v>304.89883096810024</v>
      </c>
      <c r="N32" s="100">
        <f t="shared" si="15"/>
        <v>3386.6</v>
      </c>
      <c r="O32" s="100"/>
      <c r="P32" s="98">
        <f>AnnualFactors!J33</f>
        <v>330.41100000000006</v>
      </c>
      <c r="Q32" s="100">
        <f t="shared" si="16"/>
        <v>3717</v>
      </c>
      <c r="R32" s="100">
        <f>ROUND((AnnualFactors!G33*Q32),1)</f>
        <v>201.1</v>
      </c>
      <c r="S32" s="100">
        <f t="shared" si="17"/>
        <v>3918.1</v>
      </c>
      <c r="T32" s="100">
        <f>ROUND(AnnualFactors!K33,1)</f>
        <v>83.8</v>
      </c>
      <c r="U32" s="100">
        <f t="shared" si="18"/>
        <v>4001.9</v>
      </c>
      <c r="V32" s="100"/>
      <c r="W32" s="100">
        <f>ROUND(AnnualFactors!B33*U32,1)</f>
        <v>240.1</v>
      </c>
      <c r="X32" s="100">
        <f t="shared" si="19"/>
        <v>3761.8</v>
      </c>
      <c r="Y32" s="100">
        <f>ROUND(AnnualFactors!F33*X32,1)</f>
        <v>260.7</v>
      </c>
      <c r="Z32" s="100">
        <f t="shared" si="20"/>
        <v>3501.1000000000004</v>
      </c>
      <c r="AB32" s="101">
        <f>AnnualFactors!C33</f>
        <v>0.8089</v>
      </c>
      <c r="AC32" s="100">
        <f t="shared" si="21"/>
        <v>4328.2</v>
      </c>
      <c r="AD32" s="102">
        <f>AnnualFactors!D33</f>
        <v>0.3611285734543061</v>
      </c>
      <c r="AE32" s="100">
        <f t="shared" si="22"/>
        <v>1563</v>
      </c>
      <c r="AF32" s="102">
        <f>AnnualFactors!E33</f>
        <v>0.22020802554603272</v>
      </c>
      <c r="AG32" s="98">
        <f t="shared" si="23"/>
        <v>953.1</v>
      </c>
      <c r="AH32" s="100">
        <f t="shared" si="24"/>
        <v>6844.3</v>
      </c>
      <c r="AI32" s="98">
        <f>ROUND(AnnualFactors!H33*AH32,1)</f>
        <v>137.6</v>
      </c>
      <c r="AJ32" s="100">
        <f t="shared" si="25"/>
        <v>6706.7</v>
      </c>
      <c r="AK32" s="103">
        <f>AnnualFactors!I33</f>
        <v>2.6</v>
      </c>
      <c r="AL32" s="100">
        <f t="shared" si="26"/>
        <v>2579.5</v>
      </c>
      <c r="AN32" s="104">
        <f t="shared" si="27"/>
        <v>6634.8</v>
      </c>
      <c r="AO32" s="104">
        <f t="shared" si="28"/>
        <v>133.7</v>
      </c>
      <c r="AP32" s="104">
        <f t="shared" si="29"/>
        <v>6501.1</v>
      </c>
      <c r="AQ32" s="100">
        <f t="shared" si="30"/>
        <v>2500.423076923077</v>
      </c>
      <c r="AS32" s="100">
        <f t="shared" si="0"/>
        <v>1515.1574887132358</v>
      </c>
      <c r="AT32" s="100">
        <f t="shared" si="1"/>
        <v>4195.716342065661</v>
      </c>
      <c r="AU32" s="100">
        <f t="shared" si="2"/>
        <v>923.9261692211037</v>
      </c>
      <c r="AV32" s="115">
        <f t="shared" si="3"/>
        <v>0.06930192992716253</v>
      </c>
      <c r="CH32" s="115">
        <f t="shared" si="9"/>
        <v>0.3611285734543061</v>
      </c>
      <c r="CL32" s="115">
        <f t="shared" si="10"/>
        <v>0.22020802554603272</v>
      </c>
      <c r="CO32" s="120">
        <f t="shared" si="11"/>
        <v>0.8089</v>
      </c>
      <c r="CU32" s="60">
        <f t="shared" si="31"/>
        <v>4001.9</v>
      </c>
      <c r="CV32" s="60">
        <f>CalculationsLow!U32</f>
        <v>3535.9</v>
      </c>
      <c r="CW32" s="60">
        <f>CalculationsHigh!U32</f>
        <v>4714.1</v>
      </c>
      <c r="CY32" s="60">
        <f t="shared" si="13"/>
        <v>6634.8</v>
      </c>
      <c r="CZ32" s="60">
        <f>CalculationsLow!AN32</f>
        <v>5692.3</v>
      </c>
      <c r="DA32" s="60">
        <f>CalculationsHigh!AN32</f>
        <v>7997.2</v>
      </c>
      <c r="DC32" s="60">
        <f t="shared" si="14"/>
        <v>2500.423076923077</v>
      </c>
      <c r="DD32" s="60">
        <f>CalculationsLow!AQ32</f>
        <v>2183.294117647059</v>
      </c>
      <c r="DE32" s="60">
        <f>CalculationsHigh!AQ32</f>
        <v>2962.5283018867926</v>
      </c>
    </row>
    <row r="33" ht="12.75">
      <c r="CO33" s="56"/>
    </row>
    <row r="34" ht="12.75">
      <c r="CO34" s="56"/>
    </row>
    <row r="35" spans="9:93" ht="12.75">
      <c r="I35" s="2" t="s">
        <v>212</v>
      </c>
      <c r="CO35" s="56"/>
    </row>
    <row r="36" spans="9:93" ht="12.75">
      <c r="I36" s="2" t="s">
        <v>213</v>
      </c>
      <c r="AH36" s="8">
        <f>(AH7-AH2)/AH2</f>
        <v>0.04235986690555422</v>
      </c>
      <c r="AL36" s="8">
        <f>(AL7-AL2)/AL2</f>
        <v>0.03746168691111364</v>
      </c>
      <c r="CO36" s="56"/>
    </row>
    <row r="37" spans="34:93" ht="12.75">
      <c r="AH37" s="8">
        <f>(AH12-AH7)/AH7</f>
        <v>0.09627583384489462</v>
      </c>
      <c r="AL37" s="8">
        <f>(AL12-AL7)/AL7</f>
        <v>0.10044862676441632</v>
      </c>
      <c r="CO37" s="56"/>
    </row>
    <row r="38" spans="34:93" ht="12.75">
      <c r="AH38" s="8">
        <f>(AH17-AH12)/AH12</f>
        <v>0.0708352776481568</v>
      </c>
      <c r="AL38" s="8">
        <f>(AL17-AL12)/AL12</f>
        <v>0.07084617679228397</v>
      </c>
      <c r="CO38" s="56"/>
    </row>
    <row r="39" spans="34:93" ht="12.75">
      <c r="AH39" s="8">
        <f>(AH22-AH17)/AH17</f>
        <v>0.07897856022311318</v>
      </c>
      <c r="AL39" s="8">
        <f>(AL22-AL17)/AL17</f>
        <v>0.08315149264125535</v>
      </c>
      <c r="CO39" s="56"/>
    </row>
    <row r="40" spans="34:93" ht="12.75">
      <c r="AH40" s="8">
        <f>(AH27-AH22)/AH22</f>
        <v>0.06835107671927747</v>
      </c>
      <c r="AL40" s="8">
        <f>(AL27-AL22)/AL22</f>
        <v>0.06832404629232751</v>
      </c>
      <c r="CO40" s="56"/>
    </row>
    <row r="41" spans="34:93" ht="12.75">
      <c r="AH41" s="8">
        <f>(AH32-AH27)/AH27</f>
        <v>0.03494526099316524</v>
      </c>
      <c r="AL41" s="8">
        <f>(AL32-AL27)/AL27</f>
        <v>0.03494623655913975</v>
      </c>
      <c r="CO41" s="56"/>
    </row>
    <row r="42" ht="12.75">
      <c r="AH42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76"/>
  <sheetViews>
    <sheetView workbookViewId="0" topLeftCell="A2">
      <selection activeCell="A2" sqref="A2"/>
    </sheetView>
  </sheetViews>
  <sheetFormatPr defaultColWidth="9.140625" defaultRowHeight="12.75"/>
  <cols>
    <col min="1" max="1" width="22.8515625" style="0" customWidth="1"/>
  </cols>
  <sheetData>
    <row r="1" spans="2:8" ht="12.75">
      <c r="B1" s="129" t="s">
        <v>199</v>
      </c>
      <c r="C1" s="129"/>
      <c r="D1" s="129"/>
      <c r="E1" s="129"/>
      <c r="F1" s="129"/>
      <c r="G1" s="129"/>
      <c r="H1" s="129"/>
    </row>
    <row r="2" spans="2:8" ht="12.75">
      <c r="B2" s="129" t="s">
        <v>200</v>
      </c>
      <c r="C2" s="129"/>
      <c r="D2" s="129"/>
      <c r="E2" s="129"/>
      <c r="F2" s="129"/>
      <c r="G2" s="129"/>
      <c r="H2" s="129"/>
    </row>
    <row r="4" spans="1:8" ht="12.75">
      <c r="A4" s="110" t="s">
        <v>193</v>
      </c>
      <c r="B4" s="110">
        <v>2000</v>
      </c>
      <c r="C4" s="110">
        <v>2005</v>
      </c>
      <c r="D4" s="110">
        <v>2010</v>
      </c>
      <c r="E4" s="110">
        <v>2015</v>
      </c>
      <c r="F4" s="110">
        <v>2020</v>
      </c>
      <c r="G4" s="110">
        <v>2025</v>
      </c>
      <c r="H4" s="110">
        <v>2030</v>
      </c>
    </row>
    <row r="5" spans="1:8" ht="12.75">
      <c r="A5" s="2" t="s">
        <v>194</v>
      </c>
      <c r="B5" s="34">
        <f>'Calculations&amp;Graphs'!B$2</f>
        <v>85.3</v>
      </c>
      <c r="C5" s="34">
        <f>'Calculations&amp;Graphs'!B$7</f>
        <v>65.5961574791944</v>
      </c>
      <c r="D5" s="34">
        <f>'Calculations&amp;Graphs'!B$12</f>
        <v>62.4628021461358</v>
      </c>
      <c r="E5" s="34">
        <f>'Calculations&amp;Graphs'!B$17</f>
        <v>59.01940211309352</v>
      </c>
      <c r="F5" s="34">
        <f>'Calculations&amp;Graphs'!B$22</f>
        <v>54.55246958595444</v>
      </c>
      <c r="G5" s="34">
        <f>'Calculations&amp;Graphs'!B$27</f>
        <v>49.739186756174604</v>
      </c>
      <c r="H5" s="34">
        <f>'Calculations&amp;Graphs'!B$32</f>
        <v>42.428569852981354</v>
      </c>
    </row>
    <row r="6" spans="1:8" ht="12.75">
      <c r="A6" s="2" t="s">
        <v>131</v>
      </c>
      <c r="B6" s="34">
        <f>'Calculations&amp;Graphs'!D$2</f>
        <v>144.4</v>
      </c>
      <c r="C6" s="34">
        <f>'Calculations&amp;Graphs'!D$7</f>
        <v>162.70882778381892</v>
      </c>
      <c r="D6" s="34">
        <f>'Calculations&amp;Graphs'!D$12</f>
        <v>180.69270586808514</v>
      </c>
      <c r="E6" s="34">
        <f>'Calculations&amp;Graphs'!D$17</f>
        <v>188.7837079041423</v>
      </c>
      <c r="F6" s="34">
        <f>'Calculations&amp;Graphs'!D$22</f>
        <v>194.33130406210512</v>
      </c>
      <c r="G6" s="34">
        <f>'Calculations&amp;Graphs'!D$27</f>
        <v>198.29409270313178</v>
      </c>
      <c r="H6" s="34">
        <f>'Calculations&amp;Graphs'!D$32</f>
        <v>196.82210768860114</v>
      </c>
    </row>
    <row r="7" spans="1:8" ht="12.75">
      <c r="A7" s="2" t="s">
        <v>133</v>
      </c>
      <c r="B7" s="34">
        <f>'Calculations&amp;Graphs'!C$2</f>
        <v>129.6</v>
      </c>
      <c r="C7" s="34">
        <f>'Calculations&amp;Graphs'!C$7</f>
        <v>117.25628598944883</v>
      </c>
      <c r="D7" s="34">
        <f>'Calculations&amp;Graphs'!C$12</f>
        <v>132.02174053824652</v>
      </c>
      <c r="E7" s="34">
        <f>'Calculations&amp;Graphs'!C$17</f>
        <v>138.68984259031689</v>
      </c>
      <c r="F7" s="34">
        <f>'Calculations&amp;Graphs'!C$22</f>
        <v>140.07907552349326</v>
      </c>
      <c r="G7" s="34">
        <f>'Calculations&amp;Graphs'!C$27</f>
        <v>140.26352866223553</v>
      </c>
      <c r="H7" s="34">
        <f>'Calculations&amp;Graphs'!C$32</f>
        <v>135.3242889509929</v>
      </c>
    </row>
    <row r="8" spans="1:8" ht="12.75">
      <c r="A8" s="2" t="s">
        <v>195</v>
      </c>
      <c r="B8" s="34">
        <f>'Calculations&amp;Graphs'!H$2</f>
        <v>80.2</v>
      </c>
      <c r="C8" s="34">
        <f>'Calculations&amp;Graphs'!H$7</f>
        <v>90.69927889495558</v>
      </c>
      <c r="D8" s="34">
        <f>'Calculations&amp;Graphs'!H$12</f>
        <v>100.69479196370068</v>
      </c>
      <c r="E8" s="34">
        <f>'Calculations&amp;Graphs'!H$17</f>
        <v>107.0845091264477</v>
      </c>
      <c r="F8" s="34">
        <f>'Calculations&amp;Graphs'!H$22</f>
        <v>111.41185951682131</v>
      </c>
      <c r="G8" s="34">
        <f>'Calculations&amp;Graphs'!H$27</f>
        <v>115.05219698574511</v>
      </c>
      <c r="H8" s="34">
        <f>'Calculations&amp;Graphs'!H$32</f>
        <v>116.12078618852509</v>
      </c>
    </row>
    <row r="9" spans="1:8" ht="12.75">
      <c r="A9" s="2" t="s">
        <v>196</v>
      </c>
      <c r="B9" s="34">
        <f>'Calculations&amp;Graphs'!G$2</f>
        <v>377.3</v>
      </c>
      <c r="C9" s="34">
        <f>'Calculations&amp;Graphs'!G$7</f>
        <v>414.93857741897915</v>
      </c>
      <c r="D9" s="34">
        <f>'Calculations&amp;Graphs'!G$12</f>
        <v>448.5656254019401</v>
      </c>
      <c r="E9" s="34">
        <f>'Calculations&amp;Graphs'!G$17</f>
        <v>468.16398985483625</v>
      </c>
      <c r="F9" s="34">
        <f>'Calculations&amp;Graphs'!G$22</f>
        <v>483.69175006971386</v>
      </c>
      <c r="G9" s="34">
        <f>'Calculations&amp;Graphs'!G$27</f>
        <v>497.6213867163241</v>
      </c>
      <c r="H9" s="34">
        <f>'Calculations&amp;Graphs'!G$32</f>
        <v>502.0628888372687</v>
      </c>
    </row>
    <row r="10" spans="1:8" ht="12.75">
      <c r="A10" s="2" t="s">
        <v>197</v>
      </c>
      <c r="B10" s="34">
        <f>'Calculations&amp;Graphs'!E$2</f>
        <v>143.1</v>
      </c>
      <c r="C10" s="34">
        <f>'Calculations&amp;Graphs'!E$7</f>
        <v>154.05472519928475</v>
      </c>
      <c r="D10" s="34">
        <f>'Calculations&amp;Graphs'!E$12</f>
        <v>162.38632767387412</v>
      </c>
      <c r="E10" s="34">
        <f>'Calculations&amp;Graphs'!E$17</f>
        <v>168.30829705668583</v>
      </c>
      <c r="F10" s="34">
        <f>'Calculations&amp;Graphs'!E$22</f>
        <v>172.2063818125291</v>
      </c>
      <c r="G10" s="34">
        <f>'Calculations&amp;Graphs'!E$27</f>
        <v>175.13067865995376</v>
      </c>
      <c r="H10" s="34">
        <f>'Calculations&amp;Graphs'!E$32</f>
        <v>174.2369633649948</v>
      </c>
    </row>
    <row r="11" spans="1:8" ht="12.75">
      <c r="A11" s="2" t="s">
        <v>214</v>
      </c>
      <c r="B11" s="34">
        <f>SUM(B12:B15)</f>
        <v>1084.382473702185</v>
      </c>
      <c r="C11" s="34">
        <f aca="true" t="shared" si="0" ref="C11:H11">SUM(C12:C15)</f>
        <v>1211.9958896931482</v>
      </c>
      <c r="D11" s="34">
        <f t="shared" si="0"/>
        <v>1456.2532351642421</v>
      </c>
      <c r="E11" s="34">
        <f t="shared" si="0"/>
        <v>1585.9631035582483</v>
      </c>
      <c r="F11" s="34">
        <f t="shared" si="0"/>
        <v>1709.4831710964054</v>
      </c>
      <c r="G11" s="34">
        <f t="shared" si="0"/>
        <v>1834.1654343945372</v>
      </c>
      <c r="H11" s="34">
        <f t="shared" si="0"/>
        <v>1914.7275667225224</v>
      </c>
    </row>
    <row r="12" spans="1:8" ht="12.75">
      <c r="A12" s="2" t="s">
        <v>216</v>
      </c>
      <c r="B12" s="34">
        <f>'Calculations&amp;Graphs'!J$2</f>
        <v>350.7201089230505</v>
      </c>
      <c r="C12" s="34">
        <f>'Calculations&amp;Graphs'!J$7</f>
        <v>369.4285162161362</v>
      </c>
      <c r="D12" s="34">
        <f>'Calculations&amp;Graphs'!J$12</f>
        <v>485.82351444664704</v>
      </c>
      <c r="E12" s="34">
        <f>'Calculations&amp;Graphs'!J$17</f>
        <v>555.6670485834912</v>
      </c>
      <c r="F12" s="34">
        <f>'Calculations&amp;Graphs'!J$22</f>
        <v>637.4366440484562</v>
      </c>
      <c r="G12" s="34">
        <f>'Calculations&amp;Graphs'!J$27</f>
        <v>726.139895664068</v>
      </c>
      <c r="H12" s="34">
        <f>'Calculations&amp;Graphs'!J$32</f>
        <v>809.441444183473</v>
      </c>
    </row>
    <row r="13" spans="1:8" ht="12.75">
      <c r="A13" s="2" t="s">
        <v>217</v>
      </c>
      <c r="B13" s="34">
        <f>'Calculations&amp;Graphs'!I$2</f>
        <v>161.7932352814788</v>
      </c>
      <c r="C13" s="34">
        <f>'Calculations&amp;Graphs'!I$7</f>
        <v>178.87933691751687</v>
      </c>
      <c r="D13" s="34">
        <f>'Calculations&amp;Graphs'!I$12</f>
        <v>208.57421725297002</v>
      </c>
      <c r="E13" s="34">
        <f>'Calculations&amp;Graphs'!I$17</f>
        <v>235.54177609419764</v>
      </c>
      <c r="F13" s="34">
        <f>'Calculations&amp;Graphs'!I$22</f>
        <v>263.65962406473204</v>
      </c>
      <c r="G13" s="34">
        <f>'Calculations&amp;Graphs'!I$27</f>
        <v>291.91197308573607</v>
      </c>
      <c r="H13" s="34">
        <f>'Calculations&amp;Graphs'!I$32</f>
        <v>314.4028336338056</v>
      </c>
    </row>
    <row r="14" spans="1:8" ht="12.75">
      <c r="A14" s="2" t="s">
        <v>218</v>
      </c>
      <c r="B14" s="34">
        <f>'Calculations&amp;Graphs'!F$2</f>
        <v>67.80163633361755</v>
      </c>
      <c r="C14" s="34">
        <f>'Calculations&amp;Graphs'!F$7</f>
        <v>67.95119194077125</v>
      </c>
      <c r="D14" s="34">
        <f>'Calculations&amp;Graphs'!F$12</f>
        <v>71.12044558769055</v>
      </c>
      <c r="E14" s="34">
        <f>'Calculations&amp;Graphs'!F$17</f>
        <v>72.21788276333423</v>
      </c>
      <c r="F14" s="34">
        <f>'Calculations&amp;Graphs'!F$22</f>
        <v>72.87448065499498</v>
      </c>
      <c r="G14" s="34">
        <f>'Calculations&amp;Graphs'!F$27</f>
        <v>73.36281914173746</v>
      </c>
      <c r="H14" s="34">
        <f>'Calculations&amp;Graphs'!F$32</f>
        <v>73.80839861987627</v>
      </c>
    </row>
    <row r="15" spans="1:8" ht="12.75">
      <c r="A15" s="2" t="s">
        <v>219</v>
      </c>
      <c r="B15" s="34">
        <f>'Calculations&amp;Graphs'!K$2</f>
        <v>504.0674931640383</v>
      </c>
      <c r="C15" s="34">
        <f>'Calculations&amp;Graphs'!K$7</f>
        <v>595.736844618724</v>
      </c>
      <c r="D15" s="34">
        <f>'Calculations&amp;Graphs'!K$12</f>
        <v>690.7350578769345</v>
      </c>
      <c r="E15" s="34">
        <f>'Calculations&amp;Graphs'!K$17</f>
        <v>722.5363961172253</v>
      </c>
      <c r="F15" s="34">
        <f>'Calculations&amp;Graphs'!K$22</f>
        <v>735.5124223282222</v>
      </c>
      <c r="G15" s="34">
        <f>'Calculations&amp;Graphs'!K$27</f>
        <v>742.7507465029958</v>
      </c>
      <c r="H15" s="34">
        <f>'Calculations&amp;Graphs'!K$32</f>
        <v>717.0748902853677</v>
      </c>
    </row>
    <row r="16" spans="1:8" ht="12.75">
      <c r="A16" s="2" t="s">
        <v>215</v>
      </c>
      <c r="B16" s="34">
        <f>SUM(B17:B19)</f>
        <v>666.6759999999999</v>
      </c>
      <c r="C16" s="34">
        <f aca="true" t="shared" si="1" ref="C16:H16">SUM(C17:C19)</f>
        <v>682.0930415222689</v>
      </c>
      <c r="D16" s="34">
        <f t="shared" si="1"/>
        <v>692.5997184371906</v>
      </c>
      <c r="E16" s="34">
        <f t="shared" si="1"/>
        <v>703.0655176507425</v>
      </c>
      <c r="F16" s="34">
        <f t="shared" si="1"/>
        <v>710.9470273668273</v>
      </c>
      <c r="G16" s="34">
        <f t="shared" si="1"/>
        <v>717.5817172925558</v>
      </c>
      <c r="H16" s="34">
        <f t="shared" si="1"/>
        <v>719.1098309681004</v>
      </c>
    </row>
    <row r="17" spans="1:8" ht="12.75">
      <c r="A17" s="2" t="s">
        <v>221</v>
      </c>
      <c r="B17" s="34">
        <f>'Calculations&amp;Graphs'!P$2</f>
        <v>342.57599999999996</v>
      </c>
      <c r="C17" s="34">
        <f>'Calculations&amp;Graphs'!P$7</f>
        <v>333.311</v>
      </c>
      <c r="D17" s="34">
        <f>'Calculations&amp;Graphs'!P$12</f>
        <v>332.41400000000004</v>
      </c>
      <c r="E17" s="34">
        <f>'Calculations&amp;Graphs'!P$17</f>
        <v>331.74300000000005</v>
      </c>
      <c r="F17" s="34">
        <f>'Calculations&amp;Graphs'!P$22</f>
        <v>331.077</v>
      </c>
      <c r="G17" s="34">
        <f>'Calculations&amp;Graphs'!P$27</f>
        <v>330.41100000000006</v>
      </c>
      <c r="H17" s="34">
        <f>'Calculations&amp;Graphs'!P$32</f>
        <v>330.41100000000006</v>
      </c>
    </row>
    <row r="18" spans="1:8" ht="12.75">
      <c r="A18" s="2" t="s">
        <v>222</v>
      </c>
      <c r="B18" s="34">
        <f>'Calculations&amp;Graphs'!T$2</f>
        <v>79.3</v>
      </c>
      <c r="C18" s="34">
        <f>'Calculations&amp;Graphs'!T$7</f>
        <v>80.6</v>
      </c>
      <c r="D18" s="34">
        <f>'Calculations&amp;Graphs'!T$12</f>
        <v>82</v>
      </c>
      <c r="E18" s="34">
        <f>'Calculations&amp;Graphs'!T$17</f>
        <v>83</v>
      </c>
      <c r="F18" s="34">
        <f>'Calculations&amp;Graphs'!T$22</f>
        <v>83.6</v>
      </c>
      <c r="G18" s="34">
        <f>'Calculations&amp;Graphs'!T$27</f>
        <v>83.8</v>
      </c>
      <c r="H18" s="34">
        <f>'Calculations&amp;Graphs'!T$32</f>
        <v>83.8</v>
      </c>
    </row>
    <row r="19" spans="1:8" ht="12.75">
      <c r="A19" s="2" t="s">
        <v>220</v>
      </c>
      <c r="B19" s="34">
        <f>'Calculations&amp;Graphs'!L$2</f>
        <v>244.8</v>
      </c>
      <c r="C19" s="34">
        <f>'Calculations&amp;Graphs'!L$7</f>
        <v>268.18204152226895</v>
      </c>
      <c r="D19" s="34">
        <f>'Calculations&amp;Graphs'!L$12</f>
        <v>278.18571843719064</v>
      </c>
      <c r="E19" s="34">
        <f>'Calculations&amp;Graphs'!L$17</f>
        <v>288.32251765074244</v>
      </c>
      <c r="F19" s="34">
        <f>'Calculations&amp;Graphs'!L$22</f>
        <v>296.27002736682726</v>
      </c>
      <c r="G19" s="34">
        <f>'Calculations&amp;Graphs'!L$27</f>
        <v>303.3707172925558</v>
      </c>
      <c r="H19" s="34">
        <f>'Calculations&amp;Graphs'!L$32</f>
        <v>304.89883096810024</v>
      </c>
    </row>
    <row r="20" spans="1:8" ht="12.75">
      <c r="A20" s="2" t="s">
        <v>198</v>
      </c>
      <c r="B20" s="34">
        <f>'Calculations&amp;Graphs'!R$2</f>
        <v>142.4</v>
      </c>
      <c r="C20" s="34">
        <f>'Calculations&amp;Graphs'!R$7</f>
        <v>152.5</v>
      </c>
      <c r="D20" s="34">
        <f>'Calculations&amp;Graphs'!R$12</f>
        <v>170.6</v>
      </c>
      <c r="E20" s="34">
        <f>'Calculations&amp;Graphs'!R$17</f>
        <v>180.5</v>
      </c>
      <c r="F20" s="34">
        <f>'Calculations&amp;Graphs'!R$22</f>
        <v>189</v>
      </c>
      <c r="G20" s="34">
        <f>'Calculations&amp;Graphs'!R$27</f>
        <v>197.1</v>
      </c>
      <c r="H20" s="34">
        <f>'Calculations&amp;Graphs'!R$32</f>
        <v>201.1</v>
      </c>
    </row>
    <row r="22" spans="1:8" ht="12.75">
      <c r="A22" s="2" t="s">
        <v>209</v>
      </c>
      <c r="B22" s="34">
        <f aca="true" t="shared" si="2" ref="B22:H22">SUM(B5:B20)-B11-B16</f>
        <v>2853.358473702185</v>
      </c>
      <c r="C22" s="34">
        <f t="shared" si="2"/>
        <v>3051.8427839810997</v>
      </c>
      <c r="D22" s="34">
        <f t="shared" si="2"/>
        <v>3406.2769471934143</v>
      </c>
      <c r="E22" s="34">
        <f t="shared" si="2"/>
        <v>3599.578369854513</v>
      </c>
      <c r="F22" s="34">
        <f t="shared" si="2"/>
        <v>3765.7030390338496</v>
      </c>
      <c r="G22" s="34">
        <f t="shared" si="2"/>
        <v>3924.948222170659</v>
      </c>
      <c r="H22" s="34">
        <f t="shared" si="2"/>
        <v>4001.9330025739864</v>
      </c>
    </row>
    <row r="23" spans="1:8" ht="12.75">
      <c r="A23" s="2" t="s">
        <v>210</v>
      </c>
      <c r="B23" s="34">
        <f>'Calculations&amp;Graphs'!AN2</f>
        <v>4544.9</v>
      </c>
      <c r="C23" s="34">
        <f>'Calculations&amp;Graphs'!AN7</f>
        <v>4737.4</v>
      </c>
      <c r="D23" s="34">
        <f>'Calculations&amp;Graphs'!AN12</f>
        <v>5193.5</v>
      </c>
      <c r="E23" s="34">
        <f>'Calculations&amp;Graphs'!AN17</f>
        <v>5561.4</v>
      </c>
      <c r="F23" s="34">
        <f>'Calculations&amp;Graphs'!AN22</f>
        <v>6000.6</v>
      </c>
      <c r="G23" s="34">
        <f>'Calculations&amp;Graphs'!AN27</f>
        <v>6410.8</v>
      </c>
      <c r="H23" s="34">
        <f>'Calculations&amp;Graphs'!AN32</f>
        <v>6634.8</v>
      </c>
    </row>
    <row r="24" spans="1:8" ht="12.75">
      <c r="A24" s="2" t="s">
        <v>211</v>
      </c>
      <c r="B24" s="34">
        <f>'Calculations&amp;Graphs'!$AQ2</f>
        <v>1707.8015707448765</v>
      </c>
      <c r="C24" s="34">
        <f>'Calculations&amp;Graphs'!$AQ7</f>
        <v>1771.7557251908397</v>
      </c>
      <c r="D24" s="34">
        <f>'Calculations&amp;Graphs'!$AQ12</f>
        <v>1949.7701149425286</v>
      </c>
      <c r="E24" s="34">
        <f>'Calculations&amp;Graphs'!$AQ17</f>
        <v>2087.892720306513</v>
      </c>
      <c r="F24" s="34">
        <f>'Calculations&amp;Graphs'!$AQ22</f>
        <v>2261.4615384615386</v>
      </c>
      <c r="G24" s="34">
        <f>'Calculations&amp;Graphs'!$AQ27</f>
        <v>2416.0384615384614</v>
      </c>
      <c r="H24" s="34">
        <f>'Calculations&amp;Graphs'!$AQ32</f>
        <v>2500.423076923077</v>
      </c>
    </row>
    <row r="26" spans="2:8" ht="12.75">
      <c r="B26" s="129" t="s">
        <v>207</v>
      </c>
      <c r="C26" s="129"/>
      <c r="D26" s="129"/>
      <c r="E26" s="129"/>
      <c r="F26" s="129"/>
      <c r="G26" s="129"/>
      <c r="H26" s="129"/>
    </row>
    <row r="27" spans="2:8" ht="12.75">
      <c r="B27" s="129" t="s">
        <v>200</v>
      </c>
      <c r="C27" s="129"/>
      <c r="D27" s="129"/>
      <c r="E27" s="129"/>
      <c r="F27" s="129"/>
      <c r="G27" s="129"/>
      <c r="H27" s="129"/>
    </row>
    <row r="28" spans="2:8" ht="12.75">
      <c r="B28" s="29"/>
      <c r="C28" s="29"/>
      <c r="D28" s="29"/>
      <c r="E28" s="29"/>
      <c r="F28" s="29"/>
      <c r="G28" s="29"/>
      <c r="H28" s="29"/>
    </row>
    <row r="29" spans="2:7" ht="12.75">
      <c r="B29" s="30" t="s">
        <v>201</v>
      </c>
      <c r="C29" s="30" t="s">
        <v>202</v>
      </c>
      <c r="D29" s="30" t="s">
        <v>203</v>
      </c>
      <c r="E29" s="30" t="s">
        <v>204</v>
      </c>
      <c r="F29" s="30" t="s">
        <v>205</v>
      </c>
      <c r="G29" s="30" t="s">
        <v>206</v>
      </c>
    </row>
    <row r="30" spans="1:7" ht="12.75">
      <c r="A30" s="110" t="s">
        <v>193</v>
      </c>
      <c r="B30" s="110">
        <v>2005</v>
      </c>
      <c r="C30" s="110">
        <v>2010</v>
      </c>
      <c r="D30" s="110">
        <v>2015</v>
      </c>
      <c r="E30" s="110">
        <v>2020</v>
      </c>
      <c r="F30" s="110">
        <v>2025</v>
      </c>
      <c r="G30" s="110">
        <v>2030</v>
      </c>
    </row>
    <row r="31" spans="1:7" ht="12.75">
      <c r="A31" s="2" t="s">
        <v>194</v>
      </c>
      <c r="B31" s="34">
        <f aca="true" t="shared" si="3" ref="B31:G44">C5-B5</f>
        <v>-19.703842520805594</v>
      </c>
      <c r="C31" s="34">
        <f t="shared" si="3"/>
        <v>-3.133355333058603</v>
      </c>
      <c r="D31" s="34">
        <f t="shared" si="3"/>
        <v>-3.4434000330422805</v>
      </c>
      <c r="E31" s="34">
        <f t="shared" si="3"/>
        <v>-4.466932527139079</v>
      </c>
      <c r="F31" s="34">
        <f t="shared" si="3"/>
        <v>-4.813282829779837</v>
      </c>
      <c r="G31" s="34">
        <f t="shared" si="3"/>
        <v>-7.3106169031932495</v>
      </c>
    </row>
    <row r="32" spans="1:7" ht="12.75">
      <c r="A32" s="2" t="s">
        <v>131</v>
      </c>
      <c r="B32" s="34">
        <f t="shared" si="3"/>
        <v>18.308827783818913</v>
      </c>
      <c r="C32" s="34">
        <f t="shared" si="3"/>
        <v>17.983878084266223</v>
      </c>
      <c r="D32" s="34">
        <f t="shared" si="3"/>
        <v>8.091002036057148</v>
      </c>
      <c r="E32" s="34">
        <f t="shared" si="3"/>
        <v>5.547596157962829</v>
      </c>
      <c r="F32" s="34">
        <f t="shared" si="3"/>
        <v>3.9627886410266626</v>
      </c>
      <c r="G32" s="34">
        <f t="shared" si="3"/>
        <v>-1.4719850145306452</v>
      </c>
    </row>
    <row r="33" spans="1:7" ht="12.75">
      <c r="A33" s="2" t="s">
        <v>133</v>
      </c>
      <c r="B33" s="34">
        <f t="shared" si="3"/>
        <v>-12.343714010551167</v>
      </c>
      <c r="C33" s="34">
        <f t="shared" si="3"/>
        <v>14.765454548797692</v>
      </c>
      <c r="D33" s="34">
        <f t="shared" si="3"/>
        <v>6.668102052070367</v>
      </c>
      <c r="E33" s="34">
        <f t="shared" si="3"/>
        <v>1.3892329331763733</v>
      </c>
      <c r="F33" s="34">
        <f t="shared" si="3"/>
        <v>0.18445313874227054</v>
      </c>
      <c r="G33" s="34">
        <f t="shared" si="3"/>
        <v>-4.939239711242635</v>
      </c>
    </row>
    <row r="34" spans="1:7" ht="12.75">
      <c r="A34" s="2" t="s">
        <v>195</v>
      </c>
      <c r="B34" s="34">
        <f t="shared" si="3"/>
        <v>10.49927889495558</v>
      </c>
      <c r="C34" s="34">
        <f t="shared" si="3"/>
        <v>9.995513068745097</v>
      </c>
      <c r="D34" s="34">
        <f t="shared" si="3"/>
        <v>6.389717162747019</v>
      </c>
      <c r="E34" s="34">
        <f t="shared" si="3"/>
        <v>4.32735039037361</v>
      </c>
      <c r="F34" s="34">
        <f t="shared" si="3"/>
        <v>3.6403374689238035</v>
      </c>
      <c r="G34" s="34">
        <f t="shared" si="3"/>
        <v>1.0685892027799753</v>
      </c>
    </row>
    <row r="35" spans="1:7" ht="12.75">
      <c r="A35" s="2" t="s">
        <v>196</v>
      </c>
      <c r="B35" s="34">
        <f t="shared" si="3"/>
        <v>37.63857741897914</v>
      </c>
      <c r="C35" s="34">
        <f t="shared" si="3"/>
        <v>33.62704798296096</v>
      </c>
      <c r="D35" s="34">
        <f t="shared" si="3"/>
        <v>19.598364452896135</v>
      </c>
      <c r="E35" s="34">
        <f t="shared" si="3"/>
        <v>15.527760214877617</v>
      </c>
      <c r="F35" s="34">
        <f t="shared" si="3"/>
        <v>13.92963664661022</v>
      </c>
      <c r="G35" s="34">
        <f t="shared" si="3"/>
        <v>4.4415021209446195</v>
      </c>
    </row>
    <row r="36" spans="1:7" ht="12.75">
      <c r="A36" s="2" t="s">
        <v>197</v>
      </c>
      <c r="B36" s="34">
        <f t="shared" si="3"/>
        <v>10.954725199284752</v>
      </c>
      <c r="C36" s="34">
        <f t="shared" si="3"/>
        <v>8.331602474589374</v>
      </c>
      <c r="D36" s="34">
        <f t="shared" si="3"/>
        <v>5.92196938281171</v>
      </c>
      <c r="E36" s="34">
        <f t="shared" si="3"/>
        <v>3.898084755843257</v>
      </c>
      <c r="F36" s="34">
        <f t="shared" si="3"/>
        <v>2.924296847424671</v>
      </c>
      <c r="G36" s="34">
        <f t="shared" si="3"/>
        <v>-0.8937152949589517</v>
      </c>
    </row>
    <row r="37" spans="1:7" ht="12.75">
      <c r="A37" s="2" t="s">
        <v>214</v>
      </c>
      <c r="B37" s="34">
        <f t="shared" si="3"/>
        <v>127.61341599096318</v>
      </c>
      <c r="C37" s="34">
        <f t="shared" si="3"/>
        <v>244.2573454710939</v>
      </c>
      <c r="D37" s="34">
        <f t="shared" si="3"/>
        <v>129.7098683940062</v>
      </c>
      <c r="E37" s="34">
        <f t="shared" si="3"/>
        <v>123.52006753815704</v>
      </c>
      <c r="F37" s="34">
        <f t="shared" si="3"/>
        <v>124.68226329813183</v>
      </c>
      <c r="G37" s="34">
        <f t="shared" si="3"/>
        <v>80.56213232798518</v>
      </c>
    </row>
    <row r="38" spans="1:7" ht="12.75">
      <c r="A38" s="2" t="s">
        <v>216</v>
      </c>
      <c r="B38" s="34">
        <f t="shared" si="3"/>
        <v>18.708407293085713</v>
      </c>
      <c r="C38" s="34">
        <f t="shared" si="3"/>
        <v>116.39499823051085</v>
      </c>
      <c r="D38" s="34">
        <f t="shared" si="3"/>
        <v>69.8435341368442</v>
      </c>
      <c r="E38" s="34">
        <f t="shared" si="3"/>
        <v>81.76959546496494</v>
      </c>
      <c r="F38" s="34">
        <f t="shared" si="3"/>
        <v>88.70325161561186</v>
      </c>
      <c r="G38" s="34">
        <f t="shared" si="3"/>
        <v>83.30154851940495</v>
      </c>
    </row>
    <row r="39" spans="1:7" ht="12.75">
      <c r="A39" s="2" t="s">
        <v>217</v>
      </c>
      <c r="B39" s="34">
        <f t="shared" si="3"/>
        <v>17.08610163603808</v>
      </c>
      <c r="C39" s="34">
        <f t="shared" si="3"/>
        <v>29.69488033545315</v>
      </c>
      <c r="D39" s="34">
        <f t="shared" si="3"/>
        <v>26.96755884122763</v>
      </c>
      <c r="E39" s="34">
        <f t="shared" si="3"/>
        <v>28.1178479705344</v>
      </c>
      <c r="F39" s="34">
        <f t="shared" si="3"/>
        <v>28.252349021004022</v>
      </c>
      <c r="G39" s="34">
        <f t="shared" si="3"/>
        <v>22.49086054806952</v>
      </c>
    </row>
    <row r="40" spans="1:7" ht="12.75">
      <c r="A40" s="2" t="s">
        <v>218</v>
      </c>
      <c r="B40" s="34">
        <f t="shared" si="3"/>
        <v>0.14955560715370098</v>
      </c>
      <c r="C40" s="34">
        <f t="shared" si="3"/>
        <v>3.1692536469193016</v>
      </c>
      <c r="D40" s="34">
        <f t="shared" si="3"/>
        <v>1.0974371756436767</v>
      </c>
      <c r="E40" s="34">
        <f t="shared" si="3"/>
        <v>0.656597891660752</v>
      </c>
      <c r="F40" s="34">
        <f t="shared" si="3"/>
        <v>0.48833848674247804</v>
      </c>
      <c r="G40" s="34">
        <f t="shared" si="3"/>
        <v>0.4455794781388107</v>
      </c>
    </row>
    <row r="41" spans="1:7" ht="12.75">
      <c r="A41" s="2" t="s">
        <v>219</v>
      </c>
      <c r="B41" s="34">
        <f t="shared" si="3"/>
        <v>91.66935145468574</v>
      </c>
      <c r="C41" s="34">
        <f t="shared" si="3"/>
        <v>94.99821325821051</v>
      </c>
      <c r="D41" s="34">
        <f t="shared" si="3"/>
        <v>31.80133824029076</v>
      </c>
      <c r="E41" s="34">
        <f t="shared" si="3"/>
        <v>12.976026210996906</v>
      </c>
      <c r="F41" s="34">
        <f t="shared" si="3"/>
        <v>7.238324174773538</v>
      </c>
      <c r="G41" s="34">
        <f t="shared" si="3"/>
        <v>-25.675856217628052</v>
      </c>
    </row>
    <row r="42" spans="1:7" ht="12.75">
      <c r="A42" s="2" t="s">
        <v>215</v>
      </c>
      <c r="B42" s="34">
        <f t="shared" si="3"/>
        <v>15.41704152226896</v>
      </c>
      <c r="C42" s="34">
        <f t="shared" si="3"/>
        <v>10.50667691492174</v>
      </c>
      <c r="D42" s="34">
        <f t="shared" si="3"/>
        <v>10.465799213551918</v>
      </c>
      <c r="E42" s="34">
        <f t="shared" si="3"/>
        <v>7.881509716084793</v>
      </c>
      <c r="F42" s="34">
        <f t="shared" si="3"/>
        <v>6.63468992572848</v>
      </c>
      <c r="G42" s="34">
        <f t="shared" si="3"/>
        <v>1.528113675544546</v>
      </c>
    </row>
    <row r="43" spans="1:7" ht="12.75">
      <c r="A43" s="2" t="s">
        <v>221</v>
      </c>
      <c r="B43" s="34">
        <f t="shared" si="3"/>
        <v>-9.264999999999986</v>
      </c>
      <c r="C43" s="34">
        <f t="shared" si="3"/>
        <v>-0.8969999999999345</v>
      </c>
      <c r="D43" s="34">
        <f t="shared" si="3"/>
        <v>-0.6709999999999923</v>
      </c>
      <c r="E43" s="34">
        <f t="shared" si="3"/>
        <v>-0.6660000000000537</v>
      </c>
      <c r="F43" s="34">
        <f t="shared" si="3"/>
        <v>-0.66599999999994</v>
      </c>
      <c r="G43" s="34">
        <f t="shared" si="3"/>
        <v>0</v>
      </c>
    </row>
    <row r="44" spans="1:7" ht="12.75">
      <c r="A44" s="2" t="s">
        <v>222</v>
      </c>
      <c r="B44" s="34">
        <f t="shared" si="3"/>
        <v>1.2999999999999972</v>
      </c>
      <c r="C44" s="34">
        <f t="shared" si="3"/>
        <v>1.4000000000000057</v>
      </c>
      <c r="D44" s="34">
        <f t="shared" si="3"/>
        <v>1</v>
      </c>
      <c r="E44" s="34">
        <f t="shared" si="3"/>
        <v>0.5999999999999943</v>
      </c>
      <c r="F44" s="34">
        <f t="shared" si="3"/>
        <v>0.20000000000000284</v>
      </c>
      <c r="G44" s="34">
        <f t="shared" si="3"/>
        <v>0</v>
      </c>
    </row>
    <row r="45" spans="1:7" ht="12.75">
      <c r="A45" s="2" t="s">
        <v>220</v>
      </c>
      <c r="B45" s="34">
        <f aca="true" t="shared" si="4" ref="B45:G45">C19-B19</f>
        <v>23.382041522268935</v>
      </c>
      <c r="C45" s="34">
        <f t="shared" si="4"/>
        <v>10.003676914921698</v>
      </c>
      <c r="D45" s="34">
        <f t="shared" si="4"/>
        <v>10.136799213551797</v>
      </c>
      <c r="E45" s="34">
        <f t="shared" si="4"/>
        <v>7.947509716084824</v>
      </c>
      <c r="F45" s="34">
        <f t="shared" si="4"/>
        <v>7.100689925728545</v>
      </c>
      <c r="G45" s="34">
        <f t="shared" si="4"/>
        <v>1.5281136755444322</v>
      </c>
    </row>
    <row r="46" spans="1:7" ht="12.75">
      <c r="A46" s="2" t="s">
        <v>198</v>
      </c>
      <c r="B46" s="34">
        <f aca="true" t="shared" si="5" ref="B46:G46">C20-B20</f>
        <v>10.099999999999994</v>
      </c>
      <c r="C46" s="34">
        <f t="shared" si="5"/>
        <v>18.099999999999994</v>
      </c>
      <c r="D46" s="34">
        <f t="shared" si="5"/>
        <v>9.900000000000006</v>
      </c>
      <c r="E46" s="34">
        <f t="shared" si="5"/>
        <v>8.5</v>
      </c>
      <c r="F46" s="34">
        <f t="shared" si="5"/>
        <v>8.099999999999994</v>
      </c>
      <c r="G46" s="34">
        <f t="shared" si="5"/>
        <v>4</v>
      </c>
    </row>
    <row r="47" spans="1:7" ht="12.75">
      <c r="A47" s="2"/>
      <c r="B47" s="108"/>
      <c r="C47" s="108"/>
      <c r="D47" s="108"/>
      <c r="E47" s="108"/>
      <c r="F47" s="108"/>
      <c r="G47" s="108"/>
    </row>
    <row r="48" spans="1:7" ht="12.75">
      <c r="A48" s="2" t="s">
        <v>209</v>
      </c>
      <c r="B48" s="34">
        <f aca="true" t="shared" si="6" ref="B48:G48">SUM(B31:B46)-B37-B42</f>
        <v>198.48431027891377</v>
      </c>
      <c r="C48" s="34">
        <f t="shared" si="6"/>
        <v>354.4341632123163</v>
      </c>
      <c r="D48" s="34">
        <f t="shared" si="6"/>
        <v>193.30142266109817</v>
      </c>
      <c r="E48" s="34">
        <f t="shared" si="6"/>
        <v>166.12466917933637</v>
      </c>
      <c r="F48" s="34">
        <f t="shared" si="6"/>
        <v>159.24518313680824</v>
      </c>
      <c r="G48" s="34">
        <f t="shared" si="6"/>
        <v>76.98478040332878</v>
      </c>
    </row>
    <row r="49" spans="1:7" ht="12.75">
      <c r="A49" s="2" t="s">
        <v>210</v>
      </c>
      <c r="B49" s="34">
        <f aca="true" t="shared" si="7" ref="B49:G50">C23-B23</f>
        <v>192.5</v>
      </c>
      <c r="C49" s="34">
        <f t="shared" si="7"/>
        <v>456.10000000000036</v>
      </c>
      <c r="D49" s="34">
        <f t="shared" si="7"/>
        <v>367.89999999999964</v>
      </c>
      <c r="E49" s="34">
        <f t="shared" si="7"/>
        <v>439.2000000000007</v>
      </c>
      <c r="F49" s="34">
        <f t="shared" si="7"/>
        <v>410.1999999999998</v>
      </c>
      <c r="G49" s="34">
        <f t="shared" si="7"/>
        <v>224</v>
      </c>
    </row>
    <row r="50" spans="1:7" ht="12.75">
      <c r="A50" s="2" t="s">
        <v>211</v>
      </c>
      <c r="B50" s="34">
        <f t="shared" si="7"/>
        <v>63.95415444596324</v>
      </c>
      <c r="C50" s="34">
        <f t="shared" si="7"/>
        <v>178.0143897516889</v>
      </c>
      <c r="D50" s="34">
        <f t="shared" si="7"/>
        <v>138.12260536398458</v>
      </c>
      <c r="E50" s="34">
        <f t="shared" si="7"/>
        <v>173.56881815502538</v>
      </c>
      <c r="F50" s="34">
        <f t="shared" si="7"/>
        <v>154.57692307692287</v>
      </c>
      <c r="G50" s="34">
        <f t="shared" si="7"/>
        <v>84.3846153846157</v>
      </c>
    </row>
    <row r="51" ht="12.75">
      <c r="A51" s="2"/>
    </row>
    <row r="52" spans="2:8" ht="12.75">
      <c r="B52" s="129" t="s">
        <v>208</v>
      </c>
      <c r="C52" s="129"/>
      <c r="D52" s="129"/>
      <c r="E52" s="129"/>
      <c r="F52" s="129"/>
      <c r="G52" s="129"/>
      <c r="H52" s="129"/>
    </row>
    <row r="53" spans="2:8" ht="12.75">
      <c r="B53" s="129" t="s">
        <v>200</v>
      </c>
      <c r="C53" s="129"/>
      <c r="D53" s="129"/>
      <c r="E53" s="129"/>
      <c r="F53" s="129"/>
      <c r="G53" s="129"/>
      <c r="H53" s="129"/>
    </row>
    <row r="54" spans="2:8" ht="12.75">
      <c r="B54" s="29"/>
      <c r="C54" s="29"/>
      <c r="D54" s="29"/>
      <c r="E54" s="29"/>
      <c r="F54" s="29"/>
      <c r="G54" s="29"/>
      <c r="H54" s="29"/>
    </row>
    <row r="55" spans="2:7" ht="12.75">
      <c r="B55" s="30" t="s">
        <v>201</v>
      </c>
      <c r="C55" s="30" t="s">
        <v>202</v>
      </c>
      <c r="D55" s="30" t="s">
        <v>203</v>
      </c>
      <c r="E55" s="30" t="s">
        <v>204</v>
      </c>
      <c r="F55" s="30" t="s">
        <v>205</v>
      </c>
      <c r="G55" s="30" t="s">
        <v>206</v>
      </c>
    </row>
    <row r="56" spans="1:7" ht="12.75">
      <c r="A56" s="110" t="s">
        <v>193</v>
      </c>
      <c r="B56" s="110">
        <v>2005</v>
      </c>
      <c r="C56" s="110">
        <v>2010</v>
      </c>
      <c r="D56" s="110">
        <v>2015</v>
      </c>
      <c r="E56" s="110">
        <v>2020</v>
      </c>
      <c r="F56" s="110">
        <v>2025</v>
      </c>
      <c r="G56" s="110">
        <v>2030</v>
      </c>
    </row>
    <row r="57" spans="1:7" ht="12.75">
      <c r="A57" s="2" t="s">
        <v>194</v>
      </c>
      <c r="B57" s="5">
        <f aca="true" t="shared" si="8" ref="B57:G70">(C5-B5)/B5</f>
        <v>-0.23099463682069865</v>
      </c>
      <c r="C57" s="5">
        <f t="shared" si="8"/>
        <v>-0.04776736097769799</v>
      </c>
      <c r="D57" s="5">
        <f t="shared" si="8"/>
        <v>-0.055127210351309915</v>
      </c>
      <c r="E57" s="5">
        <f t="shared" si="8"/>
        <v>-0.07568583156060277</v>
      </c>
      <c r="F57" s="5">
        <f t="shared" si="8"/>
        <v>-0.08823217108798145</v>
      </c>
      <c r="G57" s="5">
        <f t="shared" si="8"/>
        <v>-0.1469790195611856</v>
      </c>
    </row>
    <row r="58" spans="1:7" ht="12.75">
      <c r="A58" s="2" t="s">
        <v>131</v>
      </c>
      <c r="B58" s="5">
        <f t="shared" si="8"/>
        <v>0.12679243617603125</v>
      </c>
      <c r="C58" s="5">
        <f t="shared" si="8"/>
        <v>0.11052798013000427</v>
      </c>
      <c r="D58" s="5">
        <f t="shared" si="8"/>
        <v>0.04477769037320184</v>
      </c>
      <c r="E58" s="5">
        <f t="shared" si="8"/>
        <v>0.02938599002822692</v>
      </c>
      <c r="F58" s="5">
        <f t="shared" si="8"/>
        <v>0.020391921209771843</v>
      </c>
      <c r="G58" s="5">
        <f t="shared" si="8"/>
        <v>-0.007423241885144656</v>
      </c>
    </row>
    <row r="59" spans="1:7" ht="12.75">
      <c r="A59" s="2" t="s">
        <v>133</v>
      </c>
      <c r="B59" s="5">
        <f t="shared" si="8"/>
        <v>-0.09524470687153679</v>
      </c>
      <c r="C59" s="5">
        <f t="shared" si="8"/>
        <v>0.12592463102682908</v>
      </c>
      <c r="D59" s="5">
        <f t="shared" si="8"/>
        <v>0.05050760598129387</v>
      </c>
      <c r="E59" s="5">
        <f t="shared" si="8"/>
        <v>0.010016832575692658</v>
      </c>
      <c r="F59" s="5">
        <f t="shared" si="8"/>
        <v>0.0013167786698544787</v>
      </c>
      <c r="G59" s="5">
        <f t="shared" si="8"/>
        <v>-0.03521399866630101</v>
      </c>
    </row>
    <row r="60" spans="1:7" ht="12.75">
      <c r="A60" s="2" t="s">
        <v>195</v>
      </c>
      <c r="B60" s="5">
        <f t="shared" si="8"/>
        <v>0.13091370193211446</v>
      </c>
      <c r="C60" s="5">
        <f t="shared" si="8"/>
        <v>0.11020498939491588</v>
      </c>
      <c r="D60" s="5">
        <f t="shared" si="8"/>
        <v>0.06345628247636123</v>
      </c>
      <c r="E60" s="5">
        <f t="shared" si="8"/>
        <v>0.04041061051383054</v>
      </c>
      <c r="F60" s="5">
        <f t="shared" si="8"/>
        <v>0.032674595727164704</v>
      </c>
      <c r="G60" s="5">
        <f t="shared" si="8"/>
        <v>0.009287864384826764</v>
      </c>
    </row>
    <row r="61" spans="1:7" ht="12.75">
      <c r="A61" s="2" t="s">
        <v>196</v>
      </c>
      <c r="B61" s="5">
        <f t="shared" si="8"/>
        <v>0.09975769260264812</v>
      </c>
      <c r="C61" s="5">
        <f t="shared" si="8"/>
        <v>0.08104102586009124</v>
      </c>
      <c r="D61" s="5">
        <f t="shared" si="8"/>
        <v>0.043691186624777355</v>
      </c>
      <c r="E61" s="5">
        <f t="shared" si="8"/>
        <v>0.03316735278954777</v>
      </c>
      <c r="F61" s="5">
        <f t="shared" si="8"/>
        <v>0.028798582247066565</v>
      </c>
      <c r="G61" s="5">
        <f t="shared" si="8"/>
        <v>0.008925464699684539</v>
      </c>
    </row>
    <row r="62" spans="1:7" ht="12.75">
      <c r="A62" s="2" t="s">
        <v>197</v>
      </c>
      <c r="B62" s="5">
        <f t="shared" si="8"/>
        <v>0.07655293640310798</v>
      </c>
      <c r="C62" s="5">
        <f t="shared" si="8"/>
        <v>0.054082096240875684</v>
      </c>
      <c r="D62" s="5">
        <f t="shared" si="8"/>
        <v>0.03646839895723856</v>
      </c>
      <c r="E62" s="5">
        <f t="shared" si="8"/>
        <v>0.023160383795757803</v>
      </c>
      <c r="F62" s="5">
        <f t="shared" si="8"/>
        <v>0.01698135003270773</v>
      </c>
      <c r="G62" s="5">
        <f t="shared" si="8"/>
        <v>-0.005103133852945624</v>
      </c>
    </row>
    <row r="63" spans="1:7" ht="12.75">
      <c r="A63" s="2" t="s">
        <v>214</v>
      </c>
      <c r="B63" s="5">
        <f t="shared" si="8"/>
        <v>0.11768303074401305</v>
      </c>
      <c r="C63" s="5">
        <f t="shared" si="8"/>
        <v>0.20153314672786118</v>
      </c>
      <c r="D63" s="5">
        <f t="shared" si="8"/>
        <v>0.08907095638443474</v>
      </c>
      <c r="E63" s="5">
        <f t="shared" si="8"/>
        <v>0.07788331724806766</v>
      </c>
      <c r="F63" s="5">
        <f t="shared" si="8"/>
        <v>0.07293564827442249</v>
      </c>
      <c r="G63" s="5">
        <f t="shared" si="8"/>
        <v>0.04392304577181117</v>
      </c>
    </row>
    <row r="64" spans="1:7" ht="12.75">
      <c r="A64" s="2" t="s">
        <v>216</v>
      </c>
      <c r="B64" s="5">
        <f t="shared" si="8"/>
        <v>0.053342841819173877</v>
      </c>
      <c r="C64" s="5">
        <f t="shared" si="8"/>
        <v>0.3150677143786413</v>
      </c>
      <c r="D64" s="5">
        <f t="shared" si="8"/>
        <v>0.14376318160802895</v>
      </c>
      <c r="E64" s="5">
        <f t="shared" si="8"/>
        <v>0.14715573952677657</v>
      </c>
      <c r="F64" s="5">
        <f t="shared" si="8"/>
        <v>0.13915618507942082</v>
      </c>
      <c r="G64" s="5">
        <f t="shared" si="8"/>
        <v>0.1147183194544409</v>
      </c>
    </row>
    <row r="65" spans="1:7" ht="12.75">
      <c r="A65" s="2" t="s">
        <v>217</v>
      </c>
      <c r="B65" s="5">
        <f t="shared" si="8"/>
        <v>0.10560454895603416</v>
      </c>
      <c r="C65" s="5">
        <f t="shared" si="8"/>
        <v>0.16600508950424928</v>
      </c>
      <c r="D65" s="5">
        <f t="shared" si="8"/>
        <v>0.12929478627034674</v>
      </c>
      <c r="E65" s="5">
        <f t="shared" si="8"/>
        <v>0.1193752056929788</v>
      </c>
      <c r="F65" s="5">
        <f t="shared" si="8"/>
        <v>0.10715462832514577</v>
      </c>
      <c r="G65" s="5">
        <f t="shared" si="8"/>
        <v>0.07704672168915742</v>
      </c>
    </row>
    <row r="66" spans="1:7" ht="12.75">
      <c r="A66" s="2" t="s">
        <v>218</v>
      </c>
      <c r="B66" s="5">
        <f t="shared" si="8"/>
        <v>0.0022057816778611873</v>
      </c>
      <c r="C66" s="5">
        <f t="shared" si="8"/>
        <v>0.04664014797093977</v>
      </c>
      <c r="D66" s="5">
        <f t="shared" si="8"/>
        <v>0.01543068475703729</v>
      </c>
      <c r="E66" s="5">
        <f t="shared" si="8"/>
        <v>0.009091901708230548</v>
      </c>
      <c r="F66" s="5">
        <f t="shared" si="8"/>
        <v>0.0067010904551675346</v>
      </c>
      <c r="G66" s="5">
        <f t="shared" si="8"/>
        <v>0.006073641707769547</v>
      </c>
    </row>
    <row r="67" spans="1:7" ht="12.75">
      <c r="A67" s="2" t="s">
        <v>219</v>
      </c>
      <c r="B67" s="5">
        <f t="shared" si="8"/>
        <v>0.18185928015170352</v>
      </c>
      <c r="C67" s="5">
        <f t="shared" si="8"/>
        <v>0.15946338407020985</v>
      </c>
      <c r="D67" s="5">
        <f t="shared" si="8"/>
        <v>0.04603984969003365</v>
      </c>
      <c r="E67" s="5">
        <f t="shared" si="8"/>
        <v>0.017958993181143027</v>
      </c>
      <c r="F67" s="5">
        <f t="shared" si="8"/>
        <v>0.00984119908112638</v>
      </c>
      <c r="G67" s="5">
        <f t="shared" si="8"/>
        <v>-0.03456860371869649</v>
      </c>
    </row>
    <row r="68" spans="1:7" ht="12.75">
      <c r="A68" s="2" t="s">
        <v>215</v>
      </c>
      <c r="B68" s="5">
        <f t="shared" si="8"/>
        <v>0.02312523853006402</v>
      </c>
      <c r="C68" s="5">
        <f t="shared" si="8"/>
        <v>0.01540358319954906</v>
      </c>
      <c r="D68" s="5">
        <f t="shared" si="8"/>
        <v>0.0151108915221152</v>
      </c>
      <c r="E68" s="5">
        <f t="shared" si="8"/>
        <v>0.011210206614058466</v>
      </c>
      <c r="F68" s="5">
        <f t="shared" si="8"/>
        <v>0.009332186042470334</v>
      </c>
      <c r="G68" s="5">
        <f t="shared" si="8"/>
        <v>0.002129532621469422</v>
      </c>
    </row>
    <row r="69" spans="1:7" ht="12.75">
      <c r="A69" s="2" t="s">
        <v>221</v>
      </c>
      <c r="B69" s="5">
        <f t="shared" si="8"/>
        <v>-0.02704509364345426</v>
      </c>
      <c r="C69" s="5">
        <f t="shared" si="8"/>
        <v>-0.002691180309080512</v>
      </c>
      <c r="D69" s="5">
        <f t="shared" si="8"/>
        <v>-0.0020185672083606354</v>
      </c>
      <c r="E69" s="5">
        <f t="shared" si="8"/>
        <v>-0.002007578155379476</v>
      </c>
      <c r="F69" s="5">
        <f t="shared" si="8"/>
        <v>-0.002011616632988519</v>
      </c>
      <c r="G69" s="5">
        <f t="shared" si="8"/>
        <v>0</v>
      </c>
    </row>
    <row r="70" spans="1:7" ht="12.75">
      <c r="A70" s="2" t="s">
        <v>222</v>
      </c>
      <c r="B70" s="5">
        <f t="shared" si="8"/>
        <v>0.016393442622950786</v>
      </c>
      <c r="C70" s="5">
        <f t="shared" si="8"/>
        <v>0.017369727047146472</v>
      </c>
      <c r="D70" s="5">
        <f t="shared" si="8"/>
        <v>0.012195121951219513</v>
      </c>
      <c r="E70" s="5">
        <f t="shared" si="8"/>
        <v>0.007228915662650534</v>
      </c>
      <c r="F70" s="5">
        <f t="shared" si="8"/>
        <v>0.0023923444976076897</v>
      </c>
      <c r="G70" s="5">
        <f t="shared" si="8"/>
        <v>0</v>
      </c>
    </row>
    <row r="71" spans="1:7" ht="12.75">
      <c r="A71" s="2" t="s">
        <v>220</v>
      </c>
      <c r="B71" s="5">
        <f aca="true" t="shared" si="9" ref="B71:G71">(C19-B19)/B19</f>
        <v>0.0955148754994646</v>
      </c>
      <c r="C71" s="5">
        <f t="shared" si="9"/>
        <v>0.037301815058675455</v>
      </c>
      <c r="D71" s="5">
        <f t="shared" si="9"/>
        <v>0.03643896340365332</v>
      </c>
      <c r="E71" s="5">
        <f t="shared" si="9"/>
        <v>0.027564651491119353</v>
      </c>
      <c r="F71" s="5">
        <f t="shared" si="9"/>
        <v>0.02396695335278318</v>
      </c>
      <c r="G71" s="5">
        <f t="shared" si="9"/>
        <v>0.005037116598405226</v>
      </c>
    </row>
    <row r="72" spans="1:7" ht="12.75">
      <c r="A72" s="2" t="s">
        <v>198</v>
      </c>
      <c r="B72" s="5">
        <f aca="true" t="shared" si="10" ref="B72:G74">(C20-B20)/B20</f>
        <v>0.07092696629213478</v>
      </c>
      <c r="C72" s="5">
        <f t="shared" si="10"/>
        <v>0.1186885245901639</v>
      </c>
      <c r="D72" s="5">
        <f t="shared" si="10"/>
        <v>0.05803048065650648</v>
      </c>
      <c r="E72" s="5">
        <f t="shared" si="10"/>
        <v>0.04709141274238227</v>
      </c>
      <c r="F72" s="5">
        <f t="shared" si="10"/>
        <v>0.04285714285714283</v>
      </c>
      <c r="G72" s="5">
        <f t="shared" si="10"/>
        <v>0.020294266869609334</v>
      </c>
    </row>
    <row r="73" spans="1:7" ht="12.75">
      <c r="A73" s="2"/>
      <c r="B73" s="109"/>
      <c r="C73" s="109"/>
      <c r="D73" s="109"/>
      <c r="E73" s="109"/>
      <c r="F73" s="109"/>
      <c r="G73" s="109"/>
    </row>
    <row r="74" spans="1:7" ht="12.75">
      <c r="A74" s="2" t="s">
        <v>209</v>
      </c>
      <c r="B74" s="5">
        <f t="shared" si="10"/>
        <v>0.06956164537622378</v>
      </c>
      <c r="C74" s="5">
        <f t="shared" si="10"/>
        <v>0.11613775292512239</v>
      </c>
      <c r="D74" s="5">
        <f t="shared" si="10"/>
        <v>0.056748592571243595</v>
      </c>
      <c r="E74" s="5">
        <f t="shared" si="10"/>
        <v>0.046151146637224374</v>
      </c>
      <c r="F74" s="5">
        <f t="shared" si="10"/>
        <v>0.04228830087931369</v>
      </c>
      <c r="G74" s="5">
        <f t="shared" si="10"/>
        <v>0.019614215537536877</v>
      </c>
    </row>
    <row r="75" spans="1:7" ht="12.75">
      <c r="A75" s="2" t="s">
        <v>210</v>
      </c>
      <c r="B75" s="5">
        <f aca="true" t="shared" si="11" ref="B75:G76">(C23-B23)/B23</f>
        <v>0.04235516733041431</v>
      </c>
      <c r="C75" s="5">
        <f t="shared" si="11"/>
        <v>0.09627643855279276</v>
      </c>
      <c r="D75" s="5">
        <f t="shared" si="11"/>
        <v>0.07083854818523147</v>
      </c>
      <c r="E75" s="5">
        <f t="shared" si="11"/>
        <v>0.07897292048764713</v>
      </c>
      <c r="F75" s="5">
        <f t="shared" si="11"/>
        <v>0.06835983068359827</v>
      </c>
      <c r="G75" s="5">
        <f t="shared" si="11"/>
        <v>0.034941037000062396</v>
      </c>
    </row>
    <row r="76" spans="1:7" ht="12.75">
      <c r="A76" s="2" t="s">
        <v>211</v>
      </c>
      <c r="B76" s="5">
        <f t="shared" si="11"/>
        <v>0.03744823493637433</v>
      </c>
      <c r="C76" s="5">
        <f t="shared" si="11"/>
        <v>0.10047343842081537</v>
      </c>
      <c r="D76" s="5">
        <f t="shared" si="11"/>
        <v>0.07084045668022554</v>
      </c>
      <c r="E76" s="5">
        <f t="shared" si="11"/>
        <v>0.08313109982468093</v>
      </c>
      <c r="F76" s="5">
        <f t="shared" si="11"/>
        <v>0.06835266505663448</v>
      </c>
      <c r="G76" s="5">
        <f t="shared" si="11"/>
        <v>0.034926851011668945</v>
      </c>
    </row>
  </sheetData>
  <mergeCells count="6">
    <mergeCell ref="B52:H52"/>
    <mergeCell ref="B53:H53"/>
    <mergeCell ref="B1:H1"/>
    <mergeCell ref="B2:H2"/>
    <mergeCell ref="B26:H26"/>
    <mergeCell ref="B27:H27"/>
  </mergeCells>
  <printOptions horizontalCentered="1"/>
  <pageMargins left="0.5" right="0.5" top="0.25" bottom="0.2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Gregory Goodwin</cp:lastModifiedBy>
  <cp:lastPrinted>2003-11-10T16:30:48Z</cp:lastPrinted>
  <dcterms:created xsi:type="dcterms:W3CDTF">2003-10-23T12:15:07Z</dcterms:created>
  <dcterms:modified xsi:type="dcterms:W3CDTF">2003-11-13T19:20:48Z</dcterms:modified>
  <cp:category/>
  <cp:version/>
  <cp:contentType/>
  <cp:contentStatus/>
</cp:coreProperties>
</file>