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90" windowWidth="15330" windowHeight="4035" tabRatio="850" activeTab="0"/>
  </bookViews>
  <sheets>
    <sheet name="Grant Spending Overview" sheetId="1" r:id="rId1"/>
    <sheet name="03 SHSGP I" sheetId="2" r:id="rId2"/>
    <sheet name="03 SHSGP II" sheetId="3" r:id="rId3"/>
    <sheet name="04 SHSGP, LETPP, CCP" sheetId="4" r:id="rId4"/>
    <sheet name="04 HSITEP" sheetId="5" r:id="rId5"/>
    <sheet name="05 SHSGP, LETPP, CCP, EMPG" sheetId="6" r:id="rId6"/>
  </sheets>
  <definedNames>
    <definedName name="_xlnm._FilterDatabase" localSheetId="2" hidden="1">'03 SHSGP II'!$A$1:$I$30</definedName>
    <definedName name="_xlnm._FilterDatabase" localSheetId="3" hidden="1">'04 SHSGP, LETPP, CCP'!$A$1:$I$29</definedName>
    <definedName name="_xlnm.Print_Area" localSheetId="2">'03 SHSGP II'!$A$1:$I$33</definedName>
    <definedName name="_xlnm.Print_Area" localSheetId="3">'04 SHSGP, LETPP, CCP'!$A$1:$I$29</definedName>
    <definedName name="_xlnm.Print_Area" localSheetId="5">'05 SHSGP, LETPP, CCP, EMPG'!$A$1:$K$17</definedName>
    <definedName name="_xlnm.Print_Titles" localSheetId="2">'03 SHSGP II'!$1:$1</definedName>
    <definedName name="_xlnm.Print_Titles" localSheetId="3">'04 SHSGP, LETPP, CCP'!$1:$1</definedName>
    <definedName name="_xlnm.Print_Titles" localSheetId="5">'05 SHSGP, LETPP, CCP, EMPG'!$1:$1</definedName>
  </definedNames>
  <calcPr fullCalcOnLoad="1"/>
</workbook>
</file>

<file path=xl/comments1.xml><?xml version="1.0" encoding="utf-8"?>
<comments xmlns="http://schemas.openxmlformats.org/spreadsheetml/2006/main">
  <authors>
    <author>TurnerL</author>
  </authors>
  <commentList>
    <comment ref="B3" authorId="0">
      <text>
        <r>
          <rPr>
            <b/>
            <sz val="8"/>
            <rFont val="Tahoma"/>
            <family val="0"/>
          </rPr>
          <t>TurnerL:</t>
        </r>
        <r>
          <rPr>
            <sz val="8"/>
            <rFont val="Tahoma"/>
            <family val="0"/>
          </rPr>
          <t xml:space="preserve">
5/8/2003 w/special conditions $0 avail; 7/1/03 ~$4M avail; 12/30/03 ~.9M avail</t>
        </r>
      </text>
    </comment>
    <comment ref="B4" authorId="0">
      <text>
        <r>
          <rPr>
            <b/>
            <sz val="8"/>
            <rFont val="Tahoma"/>
            <family val="0"/>
          </rPr>
          <t>TurnerL:</t>
        </r>
        <r>
          <rPr>
            <sz val="8"/>
            <rFont val="Tahoma"/>
            <family val="0"/>
          </rPr>
          <t xml:space="preserve">
6/12/2003 w/special conditions $0 avail; 8/11/04 ~$13M avail</t>
        </r>
      </text>
    </comment>
  </commentList>
</comments>
</file>

<file path=xl/sharedStrings.xml><?xml version="1.0" encoding="utf-8"?>
<sst xmlns="http://schemas.openxmlformats.org/spreadsheetml/2006/main" count="326" uniqueCount="262">
  <si>
    <t>Grant</t>
  </si>
  <si>
    <t>Effective Award Date</t>
  </si>
  <si>
    <t>Period of Performance</t>
  </si>
  <si>
    <t>Grant Award</t>
  </si>
  <si>
    <t>03 State Homeland Security Grant Program I</t>
  </si>
  <si>
    <t>4/1/03 - 3/31/05</t>
  </si>
  <si>
    <t>03 State Homeland Security Grant Program II</t>
  </si>
  <si>
    <t>04 Homeland Security Grant Program</t>
  </si>
  <si>
    <t>2/1/04 - 1/31/06</t>
  </si>
  <si>
    <t>10/1/04 - 3/31/07</t>
  </si>
  <si>
    <t>Amount Expended</t>
  </si>
  <si>
    <t>Amount Obligated or Requisitioned at Agency</t>
  </si>
  <si>
    <t>Remaining Balance</t>
  </si>
  <si>
    <t>Percent Remaining</t>
  </si>
  <si>
    <t>DHS Drawdown</t>
  </si>
  <si>
    <t>Var (Exp vs. Rev)</t>
  </si>
  <si>
    <t>04 Homeland Security Information Technology and Evaluation Program</t>
  </si>
  <si>
    <t>05 Homeland Security Grant Program</t>
  </si>
  <si>
    <t>Task No.</t>
  </si>
  <si>
    <t>Category</t>
  </si>
  <si>
    <t>Major Purpose/Project</t>
  </si>
  <si>
    <t>Agency Budget</t>
  </si>
  <si>
    <t>Expended</t>
  </si>
  <si>
    <t>Obligated</t>
  </si>
  <si>
    <t>Requisitioned</t>
  </si>
  <si>
    <t>Agency Balance</t>
  </si>
  <si>
    <t>03.1.EMA</t>
  </si>
  <si>
    <t xml:space="preserve">Planning - </t>
  </si>
  <si>
    <t xml:space="preserve">To support neighborhood,school, business, planning efforts </t>
  </si>
  <si>
    <t xml:space="preserve">Equipment - </t>
  </si>
  <si>
    <t>Crisis management system for the EOC, generators</t>
  </si>
  <si>
    <t xml:space="preserve">Training - </t>
  </si>
  <si>
    <t>Provide CBRNE related training</t>
  </si>
  <si>
    <t xml:space="preserve">Exercise - </t>
  </si>
  <si>
    <t>Tabletop exercises, community exercises, command center exercises</t>
  </si>
  <si>
    <t>03.1.FEMS</t>
  </si>
  <si>
    <t>Personal protective equipment, search and rescue equipment, detection equipment, decontamination equipment</t>
  </si>
  <si>
    <t>03.1.MPD</t>
  </si>
  <si>
    <t>Personal protective equipment, explosive device mitigation and remediation equipment, logistical support equipment, forensics equipment, incident response vehicles</t>
  </si>
  <si>
    <t>03.1.OCP</t>
  </si>
  <si>
    <t>Admin -</t>
  </si>
  <si>
    <t>Procurement Support</t>
  </si>
  <si>
    <t>03.1.OHS</t>
  </si>
  <si>
    <t xml:space="preserve">M&amp;A - </t>
  </si>
  <si>
    <t>Grant administration</t>
  </si>
  <si>
    <t>Total:</t>
  </si>
  <si>
    <t>Agency</t>
  </si>
  <si>
    <t>BN0</t>
  </si>
  <si>
    <t>03.2.EMA</t>
  </si>
  <si>
    <t>BY0</t>
  </si>
  <si>
    <t>03.2.DCOA</t>
  </si>
  <si>
    <t>FA0</t>
  </si>
  <si>
    <t>03.2.MPD</t>
  </si>
  <si>
    <t>FB0</t>
  </si>
  <si>
    <t>03.2.FEMS</t>
  </si>
  <si>
    <t>GA0</t>
  </si>
  <si>
    <t>03.2.DCPS</t>
  </si>
  <si>
    <t>HA0</t>
  </si>
  <si>
    <t>03.2.DPR</t>
  </si>
  <si>
    <t>HC0</t>
  </si>
  <si>
    <t>03.2.DOH</t>
  </si>
  <si>
    <t>JA0</t>
  </si>
  <si>
    <t>03.2.DHS</t>
  </si>
  <si>
    <t>KA0</t>
  </si>
  <si>
    <t>03.2.DDOT</t>
  </si>
  <si>
    <t>KT0</t>
  </si>
  <si>
    <t>03.2.DPW</t>
  </si>
  <si>
    <t>TO0</t>
  </si>
  <si>
    <t>03.2.OCTO</t>
  </si>
  <si>
    <t>TO0-PSCC</t>
  </si>
  <si>
    <t>03.2.OUC</t>
  </si>
  <si>
    <t>03.2.OCP</t>
  </si>
  <si>
    <t>03.2.OHS</t>
  </si>
  <si>
    <t>AE0</t>
  </si>
  <si>
    <t>Number</t>
  </si>
  <si>
    <t>HSITEP</t>
  </si>
  <si>
    <t>This project will transform real time information into actionable intelligence by: a) accelerating the flow of information between many surveillance sources and recipients, b) applying spatial proximity analysis to analyze incoming incidents, and c) use m</t>
  </si>
  <si>
    <t>Subgrant No.</t>
  </si>
  <si>
    <t>Project Title</t>
  </si>
  <si>
    <t>Project Description</t>
  </si>
  <si>
    <t>Project Award</t>
  </si>
  <si>
    <t>1AACC5</t>
  </si>
  <si>
    <t>SDC</t>
  </si>
  <si>
    <t>DC Citizen Corps/Neighborhood Corps Program</t>
  </si>
  <si>
    <t>TBD</t>
  </si>
  <si>
    <t>1BNEM5</t>
  </si>
  <si>
    <t>EMA</t>
  </si>
  <si>
    <t>EMPG GRANT</t>
  </si>
  <si>
    <t>1BNSH5</t>
  </si>
  <si>
    <t>Planning, Exercise, and Equipment Support</t>
  </si>
  <si>
    <t>Update DRP, Family Preparedness guides; Plan and execute exercises; EOC equipment</t>
  </si>
  <si>
    <t>1FASH5</t>
  </si>
  <si>
    <t>MPD</t>
  </si>
  <si>
    <t>Terrorism Prevention end Emergency Preparedness</t>
  </si>
  <si>
    <t>1FATP5</t>
  </si>
  <si>
    <t>LETPP GRANT</t>
  </si>
  <si>
    <t>1GASH5</t>
  </si>
  <si>
    <t>DCPS</t>
  </si>
  <si>
    <t>Emergency Preparedness for DC Schools</t>
  </si>
  <si>
    <t>Update DCPS Emergency Plans</t>
  </si>
  <si>
    <t>1JFSH5</t>
  </si>
  <si>
    <t>DCEO</t>
  </si>
  <si>
    <t>Emergency Energy for Government Buildings</t>
  </si>
  <si>
    <t>Generators for DC owned buildings</t>
  </si>
  <si>
    <t>1KASH5</t>
  </si>
  <si>
    <t>DDOT</t>
  </si>
  <si>
    <t>Scenario-Based Simulation of Evacuation Strategies and Regional Walk Out Plan</t>
  </si>
  <si>
    <t xml:space="preserve">Transportation and emergency management decision makers will be able to anticipate the evacuation demands using the computerized scenarios and the evacuation plans. </t>
  </si>
  <si>
    <t>1RMSH5</t>
  </si>
  <si>
    <t>DMH</t>
  </si>
  <si>
    <t>Mental Health First Responder Training Program</t>
  </si>
  <si>
    <t xml:space="preserve">Establish a mental health training program on all Hazards Emergency Preparedness and Disaster Mental Health.  </t>
  </si>
  <si>
    <t>1TOSH5</t>
  </si>
  <si>
    <t>OCTO</t>
  </si>
  <si>
    <t>Broadband Wireless Planning and Evaluation</t>
  </si>
  <si>
    <t>Support the Wide Area Regional Network (WARN) development by funding project staff and the prototyping, purchasing and testing of field hardware.</t>
  </si>
  <si>
    <t>WASSH5</t>
  </si>
  <si>
    <t>WASA</t>
  </si>
  <si>
    <t>Sewer System Vulnerability Analysis</t>
  </si>
  <si>
    <t>Perform vulnerability analysis of sewer system as recommended by EPA.</t>
  </si>
  <si>
    <t>1FBSH5</t>
  </si>
  <si>
    <t>FEMS</t>
  </si>
  <si>
    <t>CBRNE Meter Enhancements Program</t>
  </si>
  <si>
    <t>Purchase of improved equipment and additional CBRNE detection equipment and implement a structured maintenance program.</t>
  </si>
  <si>
    <t>Urban Search and Rescue Enhancements</t>
  </si>
  <si>
    <t>Purchase Urban Search and Rescue equipment and enhance logistics.</t>
  </si>
  <si>
    <t>TEPOOL</t>
  </si>
  <si>
    <t>SAA</t>
  </si>
  <si>
    <t>Training and Exercise Pool</t>
  </si>
  <si>
    <t>Pool of funds for citywide use for Training and Exercise costs.</t>
  </si>
  <si>
    <t>M&amp;A - Grant Administration and Project Management</t>
  </si>
  <si>
    <t>Grant Administration/Project Management</t>
  </si>
  <si>
    <t>Total 05 HSGP</t>
  </si>
  <si>
    <t>Lapse</t>
  </si>
  <si>
    <t>this grant is closed</t>
  </si>
  <si>
    <t>03 - 05 DC Homeland Security Grant Programs:</t>
  </si>
  <si>
    <t>Working Definition:  An obligation/pass through means:  1) a definite commitment which creates a legal liability for the payment of funds for goods and services ordered or received; 2) a commitment during the grant period to pay under a grant, subgrant, and/or contract determinable sums for services or goods ordered or received during the grant period; 3) evidence that funds are encumbered, such as a purchase order or requisition, to cover the cost of purchasing an authorized item during the grant period.  These numbers reflect SAA obligations, not recipient obligations.</t>
  </si>
  <si>
    <t>DPW</t>
  </si>
  <si>
    <t>Comments</t>
  </si>
  <si>
    <t>2FBSH5</t>
  </si>
  <si>
    <t>Comment</t>
  </si>
  <si>
    <t>05 Buffer Zone Protection Program</t>
  </si>
  <si>
    <t>4/1/05 - 3/31/05</t>
  </si>
  <si>
    <t>Project Balance</t>
  </si>
  <si>
    <t>5/1/03 - 10/31/05</t>
  </si>
  <si>
    <t>8/1/04 - 3/31/06</t>
  </si>
  <si>
    <t>03.2.OCTO/OUC</t>
  </si>
  <si>
    <t>[Planning - ]  Alert DC media campaign; DRP update; EM Net Satellite System; RFK EOC upgrades</t>
  </si>
  <si>
    <t>[Planning - ]  SOCC/JOCC equipment and support</t>
  </si>
  <si>
    <t xml:space="preserve">[Equipment - ]  Command Bus; Bomb Squad Response Vehicles and Equipment; Special Operations PPE and Equipment; </t>
  </si>
  <si>
    <t>[Training - ]  CBRNE training supplies</t>
  </si>
  <si>
    <t>[Exercise - ]  Command post exercises, tabletop drills, response drills, no notice drills</t>
  </si>
  <si>
    <t>[Training - ]  WMD Complexities Course - OT for entire department, various search and rescue courses.</t>
  </si>
  <si>
    <t>[Equipment - ]  Critical Infrastructure Protection - DC Public Schools</t>
  </si>
  <si>
    <t>[Equipment - ]  Surgical masks, N95 masks, Doxycycline, fit testing</t>
  </si>
  <si>
    <t>[Planning - ]  Evacuation brochures, translation and distribution. Emergency Response packs.</t>
  </si>
  <si>
    <t>[Equipment - ]  800 MHz Radios, PPE,CCTV cameras, Traffic Control equipment (barricades, cones)</t>
  </si>
  <si>
    <t>[Planning - ]  Credentialing project (badging system equipment and supplies)</t>
  </si>
  <si>
    <t>[Planning - ]  Interoperable communications planning support (citywide and regionwide) and EP Planning</t>
  </si>
  <si>
    <t>[Equipment - ]  EOC upgrades</t>
  </si>
  <si>
    <t>[Equipment - ]  Generators, ladders, blankets, whistles (logistical support equipment)</t>
  </si>
  <si>
    <t>[Critical Infrastructure Protection - ]  Overtime reimbursement for elevated HSAS (Code Orange) protection</t>
  </si>
  <si>
    <t>[Equipment - ]  Hazardous Materials Unit; Decontamination Equipment; Tow Vehicles; USAR Equipment; 800 MHz radios; detection equipment</t>
  </si>
  <si>
    <t>[Equipment - ]  800 MHzRadios - DPR manages facilities that could be used as shelters according to the DRP.</t>
  </si>
  <si>
    <t>[Equipment - ]  Sheltering equipment (medical and logistical support equipment)</t>
  </si>
  <si>
    <t>[Equipment - ]  Water and Ice distribution supplies</t>
  </si>
  <si>
    <t>[Equipment - ]  Communications equipment/Radios for MPD/FEMS</t>
  </si>
  <si>
    <t>[Admin -]  Procurement Support</t>
  </si>
  <si>
    <t>[M&amp;A -]  Grant administration</t>
  </si>
  <si>
    <t>[Equipment - ]  Automatic External Defibrillators; medical equipment and supplies</t>
  </si>
  <si>
    <t>[Equipment - ]  Vehicle Decon System</t>
  </si>
  <si>
    <t>Category/Overview</t>
  </si>
  <si>
    <t>AE0 for HC0</t>
  </si>
  <si>
    <t>AE0 for PSCC</t>
  </si>
  <si>
    <t>AE0 for KT0</t>
  </si>
  <si>
    <t>Open Issues</t>
  </si>
  <si>
    <t>Closed</t>
  </si>
  <si>
    <t>Total 03 SHSGP II:</t>
  </si>
  <si>
    <t>[Planning -  CitCorp]-Citizen Corps Support; Community Emergency Response Team training; other citizen corps outreach and activities</t>
  </si>
  <si>
    <t>[Equipment - ]-EOC upgrades; DRP update; planning staff support; Crisis Incident Management System; Business Preparedness Guide; radio equipment</t>
  </si>
  <si>
    <t>[Exercise - ]-Tabletop exercises, command center exercises</t>
  </si>
  <si>
    <t>[Planning - ]-DRP Update; family preparedness guide; GIS support; radio equipment; ELO and JIC training</t>
  </si>
  <si>
    <t>[Training - ]-Training delivery to public and private sector communities; NIMS training</t>
  </si>
  <si>
    <t>[Equipment -  SHSP]-CBRNE Aviation (Helicopter)</t>
  </si>
  <si>
    <t>[Equipment - LETPP]-SOCC/JOCC Equipment and Support; Explosives Ordinance Device unit/K9 unit vehicles and equipment; PPE; physical security enhancement equipment; detection equipment</t>
  </si>
  <si>
    <t>[Planning -  LETPP]-Planning Scenario Simulation</t>
  </si>
  <si>
    <t>[Equipment - ]-Fireboat; HazMat tech training; Physical security enhancement equipment; cybersecurity equipment; SCBA equipment</t>
  </si>
  <si>
    <t>[Training - ]-Technical Rescue Training</t>
  </si>
  <si>
    <t>[Planning -  LETPP]-JUSTIS Information Sharing</t>
  </si>
  <si>
    <t>[Planning - ]-Develop and/or enhance mass fatality plans</t>
  </si>
  <si>
    <t>[Training - ]-WMD and Terrorism response to 1st and 2nd tier responders</t>
  </si>
  <si>
    <t>[Planning - ]-Emergency Response Plan; ELO training for Energy Sector</t>
  </si>
  <si>
    <t>[Planning - ]-Enhance debris management plans</t>
  </si>
  <si>
    <t>[Planning - ]-To develop emergency response plans for mental health sector</t>
  </si>
  <si>
    <t>[Training - ]-Mental health responder training; access helpline training</t>
  </si>
  <si>
    <t>[Equipment - ]-Cyber security enhancement equipment</t>
  </si>
  <si>
    <t>[Planning - ]-GIS emergency data development</t>
  </si>
  <si>
    <t>[Equipment - ]-UHF channel enhancements, Wireless Network technical support, FEMS/MPD mobile and portable radios</t>
  </si>
  <si>
    <t>[Admin -]-Procurement Support</t>
  </si>
  <si>
    <t xml:space="preserve">[Mgmt/Admin - ]-Grant administration </t>
  </si>
  <si>
    <t>[]-Available for Reprogramming</t>
  </si>
  <si>
    <t>AE0 for UC0</t>
  </si>
  <si>
    <t>AA0 (SDC)</t>
  </si>
  <si>
    <t>BN0 (EMA)</t>
  </si>
  <si>
    <t>FA0 (MPD)</t>
  </si>
  <si>
    <t>FB0 (FEMS)</t>
  </si>
  <si>
    <t>FJ0 (CJCC)</t>
  </si>
  <si>
    <t>FX0 (OCME)</t>
  </si>
  <si>
    <t>JA0 (DHS)</t>
  </si>
  <si>
    <t>JF0 (DCEO)</t>
  </si>
  <si>
    <t>KT0 (DPW)</t>
  </si>
  <si>
    <t>RM0 (DMH)</t>
  </si>
  <si>
    <t>TO0 (OCTO)</t>
  </si>
  <si>
    <t>UC0 (OUC)</t>
  </si>
  <si>
    <t>PO0 (OCP)</t>
  </si>
  <si>
    <t>AE0 (OHS)</t>
  </si>
  <si>
    <t>Requires Immediate Attention</t>
  </si>
  <si>
    <t>*Not a DC agency - only expenditures will be reported.</t>
  </si>
  <si>
    <t>Open Issues/Tentative plans are in place, but seems most are off schedule.</t>
  </si>
  <si>
    <t>PO0</t>
  </si>
  <si>
    <t>Legend for Project List Groupings:</t>
  </si>
  <si>
    <t>RED</t>
  </si>
  <si>
    <t>YELLOW</t>
  </si>
  <si>
    <t>Open issues may put the schedule and plan in jeopardy</t>
  </si>
  <si>
    <t>GREEN</t>
  </si>
  <si>
    <t>All activities are on schedule to meet plan</t>
  </si>
  <si>
    <t>BLUE</t>
  </si>
  <si>
    <t>All work is complete</t>
  </si>
  <si>
    <t>Project requires immediate attention due to delays or lack of project information.</t>
  </si>
  <si>
    <t>[Equipment -] Partial funding for OUC radio service agreement (maintenance)</t>
  </si>
  <si>
    <t>**Journal costs (salaries, etc)</t>
  </si>
  <si>
    <t>**Available for reprogramming (incl. $50K from DPW that they can't spend).</t>
  </si>
  <si>
    <t>Training events are scheduled for mid-December</t>
  </si>
  <si>
    <t>AE0 for BN0</t>
  </si>
  <si>
    <t>[Planning] - Moved UAS001/03 expenditures incurred by EMA for CitEd PM to proper grant</t>
  </si>
  <si>
    <t>[Equipment] - Procured CitEd related equipment on behalf of EMA to close gap</t>
  </si>
  <si>
    <t>Most of this is quick turnaround equipment.  We are watching the procurement.</t>
  </si>
  <si>
    <t>This $150K is for community (business) exercises.  It cannot be completed in the remaining timeframe.  EMA intends on xfring 05 expenditures to cover this gap and moving this requirement forward into 05.  so far, there are $0 expenditures eligible.</t>
  </si>
  <si>
    <t>Sent an email to EMA to inquire about the balance</t>
  </si>
  <si>
    <t>Sent an email to FEMS inquiring about open balance.</t>
  </si>
  <si>
    <t>Training costs are moved as infrequently.  Sent a note to FEMS to ask about status.</t>
  </si>
  <si>
    <t>This was going to be moved to FY05 ONLY IF there were going to be OCTO expenditures to cover.  So far, no expenditures on the 05 grant to cover this.</t>
  </si>
  <si>
    <t>Rec'd an email from DCEO wanting to turn back $27K</t>
  </si>
  <si>
    <t>PS costs</t>
  </si>
  <si>
    <t>Confirmed with Millicent on 12/20/05 that these funds will be spent.  There is an exercise late Jan.</t>
  </si>
  <si>
    <t>Helicopter - need to confirm delivery date.</t>
  </si>
  <si>
    <t>WHAT HAPPENDED???</t>
  </si>
  <si>
    <t>Reduced by $3K to close out</t>
  </si>
  <si>
    <t>Reduced by $1.8K to close out</t>
  </si>
  <si>
    <t>Reduced by $141.01 to close out</t>
  </si>
  <si>
    <t>Reduced by $199.39 to close out</t>
  </si>
  <si>
    <t>Reduced by $35,303.91 to close out</t>
  </si>
  <si>
    <t>Reduced by $0.03 to close out</t>
  </si>
  <si>
    <t>ghost POs work with OFRM to close</t>
  </si>
  <si>
    <t>Reduced by $46,010.92 to close out</t>
  </si>
  <si>
    <t>Reduced by $69,070 to close out</t>
  </si>
  <si>
    <t>Gap that needs to be closed</t>
  </si>
  <si>
    <t>Reduced by $3,646.14 to close out</t>
  </si>
  <si>
    <t>Problem with A/P.  This has been fully invoiced, A/P is working out the system hang-up.</t>
  </si>
  <si>
    <t>Reduced by $1341.49 to close out</t>
  </si>
  <si>
    <t xml:space="preserve"> Final liquidation expected on ____________________</t>
  </si>
  <si>
    <t xml:space="preserve"> Final liquidation expected on ___________________</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</si>
</sst>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409]d\-mmm;@"/>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quot;$&quot;* #,##0.000_);_(&quot;$&quot;* \(#,##0.000\);_(&quot;$&quot;* &quot;-&quot;??_);_(@_)"/>
    <numFmt numFmtId="173" formatCode="[$-409]dddd\,\ mmmm\ dd\,\ yyyy"/>
    <numFmt numFmtId="174" formatCode="[$-409]mmm\-yy;@"/>
    <numFmt numFmtId="175" formatCode="mmm\-yyyy"/>
    <numFmt numFmtId="176" formatCode="0.000%"/>
    <numFmt numFmtId="177" formatCode="0.0000%"/>
    <numFmt numFmtId="178" formatCode="0.0%"/>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Century Gothic"/>
      <family val="2"/>
    </font>
    <font>
      <sz val="10"/>
      <name val="Century Gothic"/>
      <family val="2"/>
    </font>
    <font>
      <b/>
      <sz val="8"/>
      <name val="Tahoma"/>
      <family val="0"/>
    </font>
    <font>
      <sz val="8"/>
      <name val="Tahoma"/>
      <family val="0"/>
    </font>
    <font>
      <b/>
      <sz val="10"/>
      <name val="Arial"/>
      <family val="2"/>
    </font>
    <font>
      <b/>
      <i/>
      <sz val="26"/>
      <name val="Arial"/>
      <family val="2"/>
    </font>
    <font>
      <b/>
      <sz val="10"/>
      <name val="Times New Roman"/>
      <family val="1"/>
    </font>
    <font>
      <sz val="10"/>
      <name val="Times New Roman"/>
      <family val="1"/>
    </font>
    <font>
      <b/>
      <u val="single"/>
      <sz val="9"/>
      <name val="Arial"/>
      <family val="2"/>
    </font>
    <font>
      <b/>
      <sz val="9"/>
      <color indexed="9"/>
      <name val="Arial"/>
      <family val="2"/>
    </font>
    <font>
      <b/>
      <sz val="9"/>
      <name val="Arial"/>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57"/>
        <bgColor indexed="64"/>
      </patternFill>
    </fill>
    <fill>
      <patternFill patternType="solid">
        <fgColor indexed="18"/>
        <bgColor indexed="64"/>
      </patternFill>
    </fill>
    <fill>
      <patternFill patternType="solid">
        <fgColor indexed="47"/>
        <bgColor indexed="64"/>
      </patternFill>
    </fill>
    <fill>
      <patternFill patternType="solid">
        <fgColor indexed="43"/>
        <bgColor indexed="64"/>
      </patternFill>
    </fill>
  </fills>
  <borders count="19">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5" fillId="0" borderId="0" xfId="0" applyFont="1" applyBorder="1" applyAlignment="1">
      <alignment/>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165" fontId="5" fillId="0" borderId="0" xfId="17" applyNumberFormat="1" applyFont="1" applyAlignment="1">
      <alignment vertical="center"/>
    </xf>
    <xf numFmtId="0" fontId="4" fillId="0" borderId="2" xfId="0" applyFont="1" applyBorder="1" applyAlignment="1">
      <alignment horizontal="center" vertical="center" wrapText="1"/>
    </xf>
    <xf numFmtId="165" fontId="4" fillId="0" borderId="2" xfId="17" applyNumberFormat="1" applyFont="1" applyBorder="1" applyAlignment="1">
      <alignment horizontal="center" vertical="center" wrapText="1"/>
    </xf>
    <xf numFmtId="9" fontId="4" fillId="0" borderId="2" xfId="21" applyFont="1" applyBorder="1" applyAlignment="1">
      <alignment horizontal="center" vertical="center" wrapText="1"/>
    </xf>
    <xf numFmtId="0" fontId="4" fillId="2" borderId="0" xfId="0" applyFont="1" applyFill="1" applyAlignment="1">
      <alignment horizontal="center" vertical="center"/>
    </xf>
    <xf numFmtId="0" fontId="4" fillId="0" borderId="0" xfId="0" applyFont="1" applyAlignment="1">
      <alignment horizontal="center" vertical="center"/>
    </xf>
    <xf numFmtId="0" fontId="5" fillId="0" borderId="3" xfId="0" applyFont="1" applyBorder="1" applyAlignment="1">
      <alignment vertical="center" wrapText="1"/>
    </xf>
    <xf numFmtId="14"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5" fillId="0" borderId="3" xfId="17" applyNumberFormat="1" applyFont="1" applyBorder="1" applyAlignment="1">
      <alignment vertical="center"/>
    </xf>
    <xf numFmtId="165" fontId="5" fillId="0" borderId="3" xfId="17" applyNumberFormat="1" applyFont="1" applyBorder="1" applyAlignment="1">
      <alignment vertical="center" wrapText="1"/>
    </xf>
    <xf numFmtId="9" fontId="5" fillId="0" borderId="3" xfId="21" applyFont="1" applyBorder="1" applyAlignment="1">
      <alignment horizontal="center" vertical="center"/>
    </xf>
    <xf numFmtId="0" fontId="5" fillId="2" borderId="0" xfId="0" applyFont="1" applyFill="1" applyAlignment="1">
      <alignment vertical="center"/>
    </xf>
    <xf numFmtId="165" fontId="5" fillId="0" borderId="3" xfId="17" applyNumberFormat="1" applyFont="1" applyBorder="1" applyAlignment="1">
      <alignment horizontal="center" vertical="center"/>
    </xf>
    <xf numFmtId="165" fontId="4" fillId="0" borderId="1" xfId="17" applyNumberFormat="1" applyFont="1" applyBorder="1" applyAlignment="1">
      <alignment vertical="center"/>
    </xf>
    <xf numFmtId="165" fontId="4" fillId="0" borderId="1" xfId="17" applyNumberFormat="1" applyFont="1" applyBorder="1" applyAlignment="1">
      <alignment horizontal="center" vertical="center"/>
    </xf>
    <xf numFmtId="165" fontId="5" fillId="0" borderId="0" xfId="17" applyNumberFormat="1" applyFont="1" applyAlignment="1">
      <alignment vertical="center" wrapText="1"/>
    </xf>
    <xf numFmtId="9" fontId="5" fillId="0" borderId="0" xfId="21" applyFont="1" applyAlignment="1">
      <alignment horizontal="center" vertical="center"/>
    </xf>
    <xf numFmtId="165" fontId="5" fillId="0" borderId="0" xfId="17" applyNumberFormat="1" applyFont="1" applyAlignment="1">
      <alignment horizontal="center" vertical="center"/>
    </xf>
    <xf numFmtId="165" fontId="5" fillId="0" borderId="3" xfId="17"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5" xfId="17" applyNumberFormat="1" applyFont="1" applyFill="1" applyBorder="1" applyAlignment="1">
      <alignment horizontal="center" vertical="center" wrapText="1"/>
    </xf>
    <xf numFmtId="0" fontId="5" fillId="0" borderId="6" xfId="0" applyFont="1" applyBorder="1" applyAlignment="1">
      <alignment vertical="center" wrapText="1"/>
    </xf>
    <xf numFmtId="164" fontId="5" fillId="0" borderId="7" xfId="17" applyNumberFormat="1" applyFont="1" applyFill="1" applyBorder="1" applyAlignment="1">
      <alignment vertical="center"/>
    </xf>
    <xf numFmtId="164" fontId="5" fillId="0" borderId="6" xfId="17" applyNumberFormat="1" applyFont="1" applyFill="1" applyBorder="1" applyAlignment="1">
      <alignment vertical="center"/>
    </xf>
    <xf numFmtId="44" fontId="4" fillId="0" borderId="5" xfId="17" applyNumberFormat="1" applyFont="1" applyFill="1" applyBorder="1" applyAlignment="1">
      <alignment horizontal="center" vertical="center" wrapText="1"/>
    </xf>
    <xf numFmtId="44" fontId="4" fillId="0" borderId="1" xfId="17" applyNumberFormat="1" applyFont="1" applyFill="1" applyBorder="1" applyAlignment="1">
      <alignment horizontal="center" vertical="center" wrapText="1"/>
    </xf>
    <xf numFmtId="164" fontId="4" fillId="0" borderId="1" xfId="17" applyNumberFormat="1" applyFont="1" applyFill="1" applyBorder="1" applyAlignment="1">
      <alignment horizontal="center" vertical="center"/>
    </xf>
    <xf numFmtId="0" fontId="5" fillId="0" borderId="0" xfId="0" applyFont="1" applyFill="1" applyBorder="1" applyAlignment="1">
      <alignment/>
    </xf>
    <xf numFmtId="0" fontId="5" fillId="0" borderId="8" xfId="0" applyFont="1" applyFill="1" applyBorder="1" applyAlignment="1">
      <alignment horizontal="center" vertical="center" wrapText="1"/>
    </xf>
    <xf numFmtId="42" fontId="5" fillId="0" borderId="6" xfId="0" applyNumberFormat="1" applyFont="1" applyBorder="1" applyAlignment="1">
      <alignment vertical="center"/>
    </xf>
    <xf numFmtId="42" fontId="5" fillId="0" borderId="7" xfId="0" applyNumberFormat="1" applyFont="1" applyBorder="1" applyAlignment="1">
      <alignment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1" xfId="17" applyNumberFormat="1" applyFont="1" applyFill="1" applyBorder="1" applyAlignment="1">
      <alignment horizontal="center" vertical="center" wrapText="1"/>
    </xf>
    <xf numFmtId="0" fontId="0" fillId="0" borderId="0" xfId="0" applyFont="1" applyBorder="1" applyAlignment="1">
      <alignment/>
    </xf>
    <xf numFmtId="0" fontId="8" fillId="0" borderId="9"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164" fontId="0" fillId="0" borderId="10" xfId="17" applyNumberFormat="1" applyFont="1" applyFill="1" applyBorder="1" applyAlignment="1">
      <alignment vertical="center"/>
    </xf>
    <xf numFmtId="164" fontId="0" fillId="0" borderId="0" xfId="17" applyNumberFormat="1" applyFont="1" applyFill="1" applyBorder="1" applyAlignment="1">
      <alignment vertical="center"/>
    </xf>
    <xf numFmtId="0" fontId="8" fillId="0" borderId="9"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8" fillId="0" borderId="8" xfId="0" applyFont="1" applyBorder="1" applyAlignment="1">
      <alignment horizontal="center" vertical="center" wrapText="1"/>
    </xf>
    <xf numFmtId="0" fontId="0" fillId="0" borderId="6" xfId="0" applyFont="1" applyBorder="1" applyAlignment="1">
      <alignment horizontal="right" vertical="center" wrapText="1"/>
    </xf>
    <xf numFmtId="0" fontId="0" fillId="0" borderId="6" xfId="0" applyFont="1" applyBorder="1" applyAlignment="1">
      <alignment vertical="center" wrapText="1"/>
    </xf>
    <xf numFmtId="164" fontId="0" fillId="0" borderId="7" xfId="17" applyNumberFormat="1" applyFont="1" applyFill="1" applyBorder="1" applyAlignment="1">
      <alignment vertical="center"/>
    </xf>
    <xf numFmtId="164" fontId="0" fillId="0" borderId="6" xfId="17" applyNumberFormat="1" applyFont="1" applyFill="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164" fontId="8" fillId="3" borderId="1" xfId="17" applyNumberFormat="1" applyFont="1" applyFill="1" applyBorder="1" applyAlignment="1">
      <alignment vertical="center"/>
    </xf>
    <xf numFmtId="0" fontId="8" fillId="0" borderId="0" xfId="0" applyFont="1" applyBorder="1" applyAlignment="1">
      <alignment horizontal="center"/>
    </xf>
    <xf numFmtId="0" fontId="10" fillId="0" borderId="0" xfId="0" applyNumberFormat="1"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wrapText="1"/>
    </xf>
    <xf numFmtId="44" fontId="11" fillId="0" borderId="0" xfId="17" applyNumberFormat="1" applyFont="1" applyFill="1" applyBorder="1" applyAlignment="1">
      <alignment vertical="center"/>
    </xf>
    <xf numFmtId="44" fontId="11" fillId="0" borderId="0" xfId="0" applyNumberFormat="1" applyFont="1" applyBorder="1" applyAlignment="1">
      <alignment vertical="center"/>
    </xf>
    <xf numFmtId="0" fontId="11" fillId="0" borderId="0" xfId="0" applyFont="1" applyBorder="1" applyAlignment="1">
      <alignment/>
    </xf>
    <xf numFmtId="0" fontId="11" fillId="0" borderId="0" xfId="0" applyFont="1" applyFill="1" applyBorder="1" applyAlignment="1">
      <alignment horizontal="center" vertical="center"/>
    </xf>
    <xf numFmtId="44" fontId="11" fillId="0" borderId="0" xfId="0" applyNumberFormat="1" applyFont="1" applyFill="1" applyBorder="1" applyAlignment="1">
      <alignment vertical="center"/>
    </xf>
    <xf numFmtId="0" fontId="11" fillId="0" borderId="0" xfId="0" applyFont="1" applyFill="1" applyBorder="1" applyAlignment="1">
      <alignment/>
    </xf>
    <xf numFmtId="0" fontId="11" fillId="0" borderId="0" xfId="0" applyFont="1" applyFill="1" applyBorder="1" applyAlignment="1">
      <alignment horizontal="center" vertical="center" wrapText="1"/>
    </xf>
    <xf numFmtId="44" fontId="11" fillId="0" borderId="0" xfId="0" applyNumberFormat="1" applyFont="1" applyBorder="1" applyAlignment="1">
      <alignment vertical="center" wrapText="1"/>
    </xf>
    <xf numFmtId="0" fontId="11" fillId="0" borderId="11" xfId="0" applyFont="1" applyBorder="1" applyAlignment="1">
      <alignment horizontal="center" vertical="center"/>
    </xf>
    <xf numFmtId="0" fontId="11" fillId="0" borderId="11" xfId="0" applyFont="1" applyFill="1" applyBorder="1" applyAlignment="1">
      <alignment vertical="center" wrapText="1"/>
    </xf>
    <xf numFmtId="44" fontId="11" fillId="0" borderId="11" xfId="17" applyNumberFormat="1" applyFont="1" applyFill="1" applyBorder="1" applyAlignment="1">
      <alignment vertical="center"/>
    </xf>
    <xf numFmtId="44" fontId="11" fillId="0" borderId="11" xfId="0" applyNumberFormat="1" applyFont="1" applyBorder="1" applyAlignment="1">
      <alignment vertical="center"/>
    </xf>
    <xf numFmtId="0" fontId="11" fillId="0" borderId="12" xfId="0" applyFont="1" applyFill="1" applyBorder="1" applyAlignment="1">
      <alignment vertical="center" wrapText="1"/>
    </xf>
    <xf numFmtId="44" fontId="11" fillId="0" borderId="12" xfId="17" applyNumberFormat="1" applyFont="1" applyFill="1" applyBorder="1" applyAlignment="1">
      <alignment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wrapText="1"/>
    </xf>
    <xf numFmtId="44" fontId="11" fillId="0" borderId="12" xfId="0" applyNumberFormat="1" applyFont="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center" vertical="center" wrapText="1"/>
    </xf>
    <xf numFmtId="44" fontId="10" fillId="0" borderId="0" xfId="17" applyNumberFormat="1" applyFont="1" applyFill="1" applyBorder="1" applyAlignment="1">
      <alignment horizontal="center" vertical="center" wrapText="1"/>
    </xf>
    <xf numFmtId="164" fontId="10" fillId="0" borderId="0" xfId="17" applyNumberFormat="1" applyFont="1" applyFill="1" applyBorder="1" applyAlignment="1">
      <alignment horizontal="center" vertical="center"/>
    </xf>
    <xf numFmtId="164" fontId="11" fillId="0" borderId="0" xfId="17" applyNumberFormat="1" applyFont="1" applyFill="1" applyBorder="1" applyAlignment="1">
      <alignment vertical="center"/>
    </xf>
    <xf numFmtId="164" fontId="11" fillId="0" borderId="0" xfId="0" applyNumberFormat="1" applyFont="1" applyFill="1" applyBorder="1" applyAlignment="1">
      <alignment vertical="center"/>
    </xf>
    <xf numFmtId="164" fontId="10" fillId="0" borderId="0" xfId="17" applyNumberFormat="1" applyFont="1" applyFill="1" applyBorder="1" applyAlignment="1">
      <alignment vertical="center"/>
    </xf>
    <xf numFmtId="0" fontId="10" fillId="0" borderId="0" xfId="0" applyFont="1" applyFill="1" applyBorder="1" applyAlignment="1">
      <alignment vertical="center" wrapText="1"/>
    </xf>
    <xf numFmtId="164" fontId="10" fillId="0" borderId="0" xfId="17" applyNumberFormat="1" applyFont="1" applyFill="1" applyBorder="1" applyAlignment="1">
      <alignment vertical="center" wrapText="1"/>
    </xf>
    <xf numFmtId="44" fontId="11" fillId="0" borderId="0" xfId="17" applyFont="1" applyFill="1" applyBorder="1" applyAlignment="1">
      <alignment/>
    </xf>
    <xf numFmtId="9" fontId="11" fillId="0" borderId="0" xfId="21" applyFont="1" applyFill="1" applyBorder="1" applyAlignment="1">
      <alignment/>
    </xf>
    <xf numFmtId="44" fontId="11" fillId="0" borderId="0" xfId="0" applyNumberFormat="1" applyFont="1" applyFill="1" applyBorder="1" applyAlignment="1">
      <alignment/>
    </xf>
    <xf numFmtId="44" fontId="11" fillId="0" borderId="0" xfId="17" applyFont="1" applyFill="1" applyBorder="1" applyAlignment="1">
      <alignment vertical="center"/>
    </xf>
    <xf numFmtId="44" fontId="11" fillId="0" borderId="0" xfId="17" applyFont="1" applyFill="1" applyBorder="1" applyAlignment="1">
      <alignment vertical="center" wrapText="1"/>
    </xf>
    <xf numFmtId="43" fontId="11" fillId="0" borderId="0" xfId="0" applyNumberFormat="1" applyFont="1" applyFill="1" applyBorder="1" applyAlignment="1">
      <alignment/>
    </xf>
    <xf numFmtId="0" fontId="10" fillId="0" borderId="0" xfId="0" applyFont="1" applyFill="1" applyBorder="1" applyAlignment="1">
      <alignment vertical="center"/>
    </xf>
    <xf numFmtId="0" fontId="10" fillId="0" borderId="0" xfId="0" applyFont="1" applyFill="1" applyBorder="1" applyAlignment="1">
      <alignment/>
    </xf>
    <xf numFmtId="44" fontId="10" fillId="0" borderId="0" xfId="17" applyFont="1" applyFill="1" applyBorder="1" applyAlignment="1">
      <alignment/>
    </xf>
    <xf numFmtId="164" fontId="11" fillId="0" borderId="11" xfId="17" applyNumberFormat="1" applyFont="1" applyFill="1" applyBorder="1" applyAlignment="1">
      <alignment vertical="center"/>
    </xf>
    <xf numFmtId="164" fontId="11" fillId="0" borderId="11" xfId="0" applyNumberFormat="1" applyFont="1" applyFill="1" applyBorder="1" applyAlignment="1">
      <alignment vertical="center"/>
    </xf>
    <xf numFmtId="164" fontId="11" fillId="0" borderId="13" xfId="0" applyNumberFormat="1" applyFont="1" applyFill="1" applyBorder="1" applyAlignment="1">
      <alignment vertical="center" wrapText="1"/>
    </xf>
    <xf numFmtId="164" fontId="11" fillId="0" borderId="14" xfId="0" applyNumberFormat="1" applyFont="1" applyFill="1" applyBorder="1" applyAlignment="1">
      <alignment vertical="center" wrapText="1"/>
    </xf>
    <xf numFmtId="164" fontId="11" fillId="0" borderId="12" xfId="17" applyNumberFormat="1" applyFont="1" applyFill="1" applyBorder="1" applyAlignment="1">
      <alignment vertical="center"/>
    </xf>
    <xf numFmtId="164" fontId="11" fillId="0" borderId="12" xfId="0" applyNumberFormat="1" applyFont="1" applyFill="1" applyBorder="1" applyAlignment="1">
      <alignment vertical="center"/>
    </xf>
    <xf numFmtId="164" fontId="11" fillId="0" borderId="15" xfId="0" applyNumberFormat="1"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4" fontId="11" fillId="0" borderId="0" xfId="17" applyFont="1" applyFill="1" applyBorder="1" applyAlignment="1">
      <alignment horizontal="center" vertical="center" wrapText="1"/>
    </xf>
    <xf numFmtId="164" fontId="11" fillId="0" borderId="0" xfId="0" applyNumberFormat="1" applyFont="1" applyFill="1" applyBorder="1" applyAlignment="1">
      <alignment/>
    </xf>
    <xf numFmtId="0" fontId="0" fillId="0" borderId="0" xfId="0" applyFont="1" applyAlignment="1">
      <alignment vertical="center"/>
    </xf>
    <xf numFmtId="0" fontId="8" fillId="0" borderId="12" xfId="0" applyFont="1" applyBorder="1" applyAlignment="1">
      <alignment vertical="center"/>
    </xf>
    <xf numFmtId="164" fontId="8" fillId="0" borderId="12" xfId="17" applyNumberFormat="1" applyFont="1" applyBorder="1" applyAlignment="1">
      <alignment vertical="center"/>
    </xf>
    <xf numFmtId="164" fontId="8" fillId="0" borderId="12" xfId="17" applyNumberFormat="1" applyFont="1" applyFill="1" applyBorder="1" applyAlignment="1">
      <alignment horizontal="center" vertical="center"/>
    </xf>
    <xf numFmtId="164" fontId="8" fillId="0" borderId="12" xfId="17"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left" vertical="center" wrapText="1"/>
    </xf>
    <xf numFmtId="164" fontId="0" fillId="0" borderId="0" xfId="17" applyNumberFormat="1" applyFont="1" applyFill="1" applyBorder="1" applyAlignment="1">
      <alignment horizontal="center" vertical="center"/>
    </xf>
    <xf numFmtId="164" fontId="0" fillId="0" borderId="0" xfId="17" applyNumberFormat="1" applyFont="1" applyAlignment="1">
      <alignment vertical="center"/>
    </xf>
    <xf numFmtId="164" fontId="0" fillId="0" borderId="0" xfId="17" applyNumberFormat="1" applyFont="1" applyBorder="1" applyAlignment="1">
      <alignment vertical="center"/>
    </xf>
    <xf numFmtId="164" fontId="0" fillId="0" borderId="0" xfId="17" applyNumberFormat="1" applyFont="1" applyFill="1" applyAlignment="1">
      <alignment vertical="center"/>
    </xf>
    <xf numFmtId="164" fontId="0" fillId="0" borderId="0" xfId="17" applyNumberFormat="1" applyFont="1" applyBorder="1" applyAlignment="1">
      <alignment vertical="center" wrapText="1"/>
    </xf>
    <xf numFmtId="164" fontId="0" fillId="0" borderId="0" xfId="17"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vertical="center" wrapText="1"/>
    </xf>
    <xf numFmtId="0" fontId="0" fillId="0" borderId="12" xfId="0" applyFont="1" applyFill="1" applyBorder="1" applyAlignment="1">
      <alignment vertical="center" wrapText="1"/>
    </xf>
    <xf numFmtId="164" fontId="0" fillId="0" borderId="12" xfId="17" applyNumberFormat="1" applyFont="1" applyFill="1" applyBorder="1" applyAlignment="1">
      <alignment horizontal="center" vertical="center"/>
    </xf>
    <xf numFmtId="164" fontId="0" fillId="0" borderId="12" xfId="17" applyNumberFormat="1" applyFont="1" applyBorder="1" applyAlignment="1">
      <alignment vertical="center"/>
    </xf>
    <xf numFmtId="0" fontId="8" fillId="0" borderId="0" xfId="0" applyFont="1" applyAlignment="1">
      <alignment horizontal="right" vertical="center"/>
    </xf>
    <xf numFmtId="164" fontId="8" fillId="0" borderId="0" xfId="17" applyNumberFormat="1" applyFont="1" applyAlignment="1">
      <alignment vertical="center"/>
    </xf>
    <xf numFmtId="164" fontId="8" fillId="0" borderId="0" xfId="17" applyNumberFormat="1" applyFont="1" applyBorder="1" applyAlignment="1">
      <alignment vertical="center"/>
    </xf>
    <xf numFmtId="0" fontId="11" fillId="0" borderId="0" xfId="0" applyFont="1" applyFill="1" applyBorder="1" applyAlignment="1">
      <alignment horizontal="right" vertical="center" wrapText="1"/>
    </xf>
    <xf numFmtId="0" fontId="12" fillId="0" borderId="0" xfId="0" applyFont="1" applyAlignment="1">
      <alignment horizontal="left" indent="4"/>
    </xf>
    <xf numFmtId="0" fontId="0" fillId="0" borderId="0" xfId="0" applyFont="1" applyAlignment="1">
      <alignment vertical="center" wrapText="1"/>
    </xf>
    <xf numFmtId="165" fontId="0" fillId="0" borderId="0" xfId="17" applyNumberFormat="1" applyFont="1" applyAlignment="1">
      <alignment vertical="center"/>
    </xf>
    <xf numFmtId="165" fontId="0" fillId="0" borderId="0" xfId="17" applyNumberFormat="1" applyFont="1" applyAlignment="1">
      <alignment vertical="center" wrapText="1"/>
    </xf>
    <xf numFmtId="0" fontId="13" fillId="4" borderId="0" xfId="0" applyFont="1" applyFill="1" applyAlignment="1">
      <alignment horizontal="left" indent="4"/>
    </xf>
    <xf numFmtId="0" fontId="14" fillId="5" borderId="0" xfId="0" applyFont="1" applyFill="1" applyAlignment="1">
      <alignment horizontal="left" indent="4"/>
    </xf>
    <xf numFmtId="0" fontId="13" fillId="6" borderId="0" xfId="0" applyFont="1" applyFill="1" applyAlignment="1">
      <alignment horizontal="left" indent="4"/>
    </xf>
    <xf numFmtId="0" fontId="13" fillId="7" borderId="0" xfId="0" applyFont="1" applyFill="1" applyAlignment="1">
      <alignment horizontal="left" indent="4"/>
    </xf>
    <xf numFmtId="0" fontId="10" fillId="0" borderId="0" xfId="0" applyFont="1" applyBorder="1" applyAlignment="1">
      <alignment horizontal="center" vertical="center" wrapText="1"/>
    </xf>
    <xf numFmtId="0" fontId="11" fillId="0" borderId="0" xfId="0" applyFont="1" applyBorder="1" applyAlignment="1">
      <alignment horizontal="right" vertical="center" wrapText="1"/>
    </xf>
    <xf numFmtId="44" fontId="11" fillId="0" borderId="13" xfId="0" applyNumberFormat="1" applyFont="1" applyBorder="1" applyAlignment="1">
      <alignment vertical="center" wrapText="1"/>
    </xf>
    <xf numFmtId="44" fontId="11" fillId="0" borderId="14" xfId="0" applyNumberFormat="1" applyFont="1" applyBorder="1" applyAlignment="1">
      <alignment vertical="center" wrapText="1"/>
    </xf>
    <xf numFmtId="44" fontId="11" fillId="0" borderId="14" xfId="0" applyNumberFormat="1" applyFont="1" applyFill="1" applyBorder="1" applyAlignment="1">
      <alignment vertical="center" wrapText="1"/>
    </xf>
    <xf numFmtId="0" fontId="11" fillId="0" borderId="12" xfId="0" applyFont="1" applyFill="1" applyBorder="1" applyAlignment="1">
      <alignment horizontal="right" vertical="center" wrapText="1"/>
    </xf>
    <xf numFmtId="0" fontId="11" fillId="0" borderId="11" xfId="0" applyFont="1" applyBorder="1" applyAlignment="1">
      <alignment horizontal="right" vertical="center" wrapText="1"/>
    </xf>
    <xf numFmtId="44" fontId="11" fillId="0" borderId="15" xfId="0" applyNumberFormat="1" applyFont="1" applyBorder="1" applyAlignment="1">
      <alignment vertical="center" wrapText="1"/>
    </xf>
    <xf numFmtId="44" fontId="11" fillId="0" borderId="0" xfId="0" applyNumberFormat="1" applyFont="1" applyBorder="1" applyAlignment="1">
      <alignment/>
    </xf>
    <xf numFmtId="44" fontId="10" fillId="2" borderId="0" xfId="17" applyNumberFormat="1" applyFont="1" applyFill="1" applyBorder="1" applyAlignment="1">
      <alignment horizontal="center" vertical="center" wrapText="1"/>
    </xf>
    <xf numFmtId="164" fontId="11" fillId="2" borderId="11" xfId="0" applyNumberFormat="1" applyFont="1" applyFill="1" applyBorder="1" applyAlignment="1">
      <alignment vertical="center"/>
    </xf>
    <xf numFmtId="164" fontId="11" fillId="2" borderId="0" xfId="0" applyNumberFormat="1" applyFont="1" applyFill="1" applyBorder="1" applyAlignment="1">
      <alignment vertical="center"/>
    </xf>
    <xf numFmtId="164" fontId="11" fillId="2" borderId="12" xfId="0" applyNumberFormat="1" applyFont="1" applyFill="1" applyBorder="1" applyAlignment="1">
      <alignment vertical="center"/>
    </xf>
    <xf numFmtId="164" fontId="10" fillId="2" borderId="0" xfId="17" applyNumberFormat="1" applyFont="1" applyFill="1" applyBorder="1" applyAlignment="1">
      <alignment vertical="center"/>
    </xf>
    <xf numFmtId="164" fontId="10" fillId="2" borderId="0" xfId="17" applyNumberFormat="1" applyFont="1" applyFill="1" applyBorder="1" applyAlignment="1">
      <alignment horizontal="center" vertical="center" wrapText="1"/>
    </xf>
    <xf numFmtId="164" fontId="11" fillId="2" borderId="11" xfId="17" applyNumberFormat="1" applyFont="1" applyFill="1" applyBorder="1" applyAlignment="1">
      <alignment vertical="center"/>
    </xf>
    <xf numFmtId="164" fontId="11" fillId="2" borderId="0" xfId="17" applyNumberFormat="1" applyFont="1" applyFill="1" applyBorder="1" applyAlignment="1">
      <alignment vertical="center"/>
    </xf>
    <xf numFmtId="164" fontId="11" fillId="2" borderId="12" xfId="17" applyNumberFormat="1" applyFont="1" applyFill="1" applyBorder="1" applyAlignment="1">
      <alignment vertical="center"/>
    </xf>
    <xf numFmtId="0" fontId="11" fillId="5" borderId="12" xfId="0" applyFont="1" applyFill="1" applyBorder="1" applyAlignment="1">
      <alignment horizontal="center" vertical="center" wrapText="1"/>
    </xf>
    <xf numFmtId="0" fontId="11" fillId="5" borderId="12" xfId="0" applyFont="1" applyFill="1" applyBorder="1" applyAlignment="1">
      <alignment vertical="center" wrapText="1"/>
    </xf>
    <xf numFmtId="164" fontId="11" fillId="5" borderId="12" xfId="17" applyNumberFormat="1" applyFont="1" applyFill="1" applyBorder="1" applyAlignment="1">
      <alignment vertical="center"/>
    </xf>
    <xf numFmtId="164" fontId="11" fillId="5" borderId="12" xfId="0" applyNumberFormat="1" applyFont="1" applyFill="1" applyBorder="1" applyAlignment="1">
      <alignment vertical="center"/>
    </xf>
    <xf numFmtId="164" fontId="11" fillId="5" borderId="15" xfId="0" applyNumberFormat="1" applyFont="1" applyFill="1" applyBorder="1" applyAlignment="1">
      <alignment vertical="center" wrapText="1"/>
    </xf>
    <xf numFmtId="44" fontId="10" fillId="0" borderId="0" xfId="0" applyNumberFormat="1" applyFont="1" applyFill="1" applyBorder="1" applyAlignment="1">
      <alignment vertical="center"/>
    </xf>
    <xf numFmtId="0" fontId="10" fillId="0" borderId="0" xfId="0" applyFont="1" applyBorder="1" applyAlignment="1">
      <alignment/>
    </xf>
    <xf numFmtId="9" fontId="11" fillId="0" borderId="0" xfId="21" applyFont="1" applyFill="1" applyBorder="1" applyAlignment="1">
      <alignment vertical="center"/>
    </xf>
    <xf numFmtId="0" fontId="10" fillId="0" borderId="16" xfId="0" applyNumberFormat="1" applyFont="1" applyBorder="1" applyAlignment="1">
      <alignment vertical="center" wrapText="1"/>
    </xf>
    <xf numFmtId="0" fontId="10" fillId="8" borderId="12" xfId="0" applyFont="1" applyFill="1" applyBorder="1" applyAlignment="1">
      <alignment vertical="center" wrapText="1"/>
    </xf>
    <xf numFmtId="0" fontId="10" fillId="0" borderId="12" xfId="0" applyFont="1" applyFill="1" applyBorder="1" applyAlignment="1">
      <alignment horizontal="right" vertical="center" wrapText="1"/>
    </xf>
    <xf numFmtId="44" fontId="10" fillId="0" borderId="12" xfId="17" applyNumberFormat="1" applyFont="1" applyFill="1" applyBorder="1" applyAlignment="1">
      <alignment vertical="center"/>
    </xf>
    <xf numFmtId="44" fontId="10" fillId="0" borderId="15" xfId="17" applyNumberFormat="1" applyFont="1" applyFill="1" applyBorder="1" applyAlignment="1">
      <alignment vertical="center" wrapText="1"/>
    </xf>
    <xf numFmtId="0" fontId="11" fillId="4" borderId="17" xfId="0" applyNumberFormat="1" applyFont="1" applyFill="1" applyBorder="1" applyAlignment="1">
      <alignment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left" vertical="center" wrapText="1"/>
    </xf>
    <xf numFmtId="44" fontId="11" fillId="0" borderId="11" xfId="17" applyNumberFormat="1" applyFont="1" applyFill="1" applyBorder="1" applyAlignment="1">
      <alignment horizontal="center" vertical="center" wrapText="1"/>
    </xf>
    <xf numFmtId="44" fontId="11" fillId="0" borderId="13" xfId="17" applyNumberFormat="1" applyFont="1" applyFill="1" applyBorder="1" applyAlignment="1">
      <alignment horizontal="center" vertical="center" wrapText="1"/>
    </xf>
    <xf numFmtId="0" fontId="0" fillId="0" borderId="0" xfId="0" applyFont="1" applyAlignment="1">
      <alignment horizontal="left" vertical="center" wrapText="1"/>
    </xf>
    <xf numFmtId="14" fontId="4" fillId="2" borderId="0" xfId="17" applyNumberFormat="1" applyFont="1" applyFill="1" applyBorder="1" applyAlignment="1">
      <alignment horizontal="center" vertical="center" wrapText="1"/>
    </xf>
    <xf numFmtId="0" fontId="5" fillId="0" borderId="0" xfId="0" applyFont="1" applyAlignment="1">
      <alignment horizontal="left" vertical="center" wrapText="1"/>
    </xf>
    <xf numFmtId="0" fontId="4" fillId="0" borderId="1" xfId="0" applyFont="1" applyBorder="1" applyAlignment="1">
      <alignment vertical="center" wrapText="1"/>
    </xf>
    <xf numFmtId="0" fontId="9" fillId="0" borderId="0" xfId="0" applyFont="1" applyBorder="1" applyAlignment="1">
      <alignment horizontal="center" vertical="center"/>
    </xf>
    <xf numFmtId="0" fontId="10" fillId="5" borderId="17" xfId="0" applyNumberFormat="1" applyFont="1" applyFill="1" applyBorder="1" applyAlignment="1">
      <alignment horizontal="center" vertical="center" textRotation="90" wrapText="1"/>
    </xf>
    <xf numFmtId="0" fontId="10" fillId="5" borderId="18" xfId="0" applyNumberFormat="1" applyFont="1" applyFill="1" applyBorder="1" applyAlignment="1">
      <alignment horizontal="center" vertical="center" textRotation="90" wrapText="1"/>
    </xf>
    <xf numFmtId="0" fontId="10" fillId="3" borderId="17" xfId="0" applyNumberFormat="1" applyFont="1" applyFill="1" applyBorder="1" applyAlignment="1">
      <alignment horizontal="center" vertical="center" textRotation="90" wrapText="1"/>
    </xf>
    <xf numFmtId="0" fontId="10" fillId="3" borderId="18" xfId="0" applyNumberFormat="1" applyFont="1" applyFill="1" applyBorder="1" applyAlignment="1">
      <alignment horizontal="center" vertical="center" textRotation="90" wrapText="1"/>
    </xf>
    <xf numFmtId="0" fontId="10" fillId="3" borderId="16" xfId="0" applyNumberFormat="1" applyFont="1" applyFill="1" applyBorder="1" applyAlignment="1">
      <alignment horizontal="center" vertical="center" textRotation="90" wrapText="1"/>
    </xf>
    <xf numFmtId="0" fontId="10" fillId="3" borderId="17" xfId="0" applyFont="1" applyFill="1" applyBorder="1" applyAlignment="1">
      <alignment horizontal="center" vertical="center" textRotation="90" wrapText="1"/>
    </xf>
    <xf numFmtId="0" fontId="10" fillId="3" borderId="18" xfId="0" applyFont="1" applyFill="1" applyBorder="1" applyAlignment="1">
      <alignment horizontal="center" vertical="center" textRotation="90" wrapText="1"/>
    </xf>
    <xf numFmtId="0" fontId="10" fillId="3" borderId="16" xfId="0" applyFont="1" applyFill="1" applyBorder="1" applyAlignment="1">
      <alignment horizontal="center" vertical="center" textRotation="90" wrapText="1"/>
    </xf>
    <xf numFmtId="0" fontId="10" fillId="4" borderId="17" xfId="0" applyFont="1" applyFill="1" applyBorder="1" applyAlignment="1">
      <alignment horizontal="center" vertical="center" textRotation="90" wrapText="1"/>
    </xf>
    <xf numFmtId="0" fontId="10" fillId="4" borderId="18" xfId="0" applyFont="1" applyFill="1" applyBorder="1" applyAlignment="1">
      <alignment horizontal="center" vertical="center" textRotation="90" wrapText="1"/>
    </xf>
    <xf numFmtId="0" fontId="10" fillId="4" borderId="16" xfId="0" applyFont="1" applyFill="1" applyBorder="1" applyAlignment="1">
      <alignment horizontal="center" vertical="center" textRotation="90" wrapText="1"/>
    </xf>
    <xf numFmtId="0" fontId="10" fillId="9" borderId="17" xfId="0" applyFont="1" applyFill="1" applyBorder="1" applyAlignment="1">
      <alignment horizontal="center" vertical="center" textRotation="90" wrapText="1"/>
    </xf>
    <xf numFmtId="0" fontId="10" fillId="9" borderId="18" xfId="0" applyFont="1" applyFill="1" applyBorder="1" applyAlignment="1">
      <alignment horizontal="center" vertical="center" textRotation="90" wrapText="1"/>
    </xf>
    <xf numFmtId="0" fontId="10" fillId="9" borderId="16" xfId="0" applyFont="1" applyFill="1" applyBorder="1" applyAlignment="1">
      <alignment horizontal="center" vertical="center" textRotation="90" wrapText="1"/>
    </xf>
    <xf numFmtId="0" fontId="8" fillId="5" borderId="0" xfId="0" applyFont="1" applyFill="1" applyAlignment="1">
      <alignment horizontal="center" vertic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7"/>
  <sheetViews>
    <sheetView tabSelected="1" workbookViewId="0" topLeftCell="A1">
      <selection activeCell="E2" sqref="E2"/>
    </sheetView>
  </sheetViews>
  <sheetFormatPr defaultColWidth="9.140625" defaultRowHeight="12.75"/>
  <cols>
    <col min="1" max="1" width="30.140625" style="3" customWidth="1"/>
    <col min="2" max="2" width="14.28125" style="3" customWidth="1"/>
    <col min="3" max="3" width="17.140625" style="4" customWidth="1"/>
    <col min="4" max="4" width="9.421875" style="5" customWidth="1"/>
    <col min="5" max="5" width="10.28125" style="21" customWidth="1"/>
    <col min="6" max="6" width="14.421875" style="21" bestFit="1" customWidth="1"/>
    <col min="7" max="7" width="10.7109375" style="21" bestFit="1" customWidth="1"/>
    <col min="8" max="8" width="10.7109375" style="22" customWidth="1"/>
    <col min="9" max="9" width="1.57421875" style="4" customWidth="1"/>
    <col min="10" max="11" width="11.00390625" style="23" customWidth="1"/>
    <col min="12" max="16384" width="9.140625" style="4" customWidth="1"/>
  </cols>
  <sheetData>
    <row r="1" spans="5:11" ht="15" customHeight="1">
      <c r="E1" s="177">
        <v>38761</v>
      </c>
      <c r="F1" s="177"/>
      <c r="G1" s="177"/>
      <c r="H1" s="177"/>
      <c r="I1" s="177"/>
      <c r="J1" s="177"/>
      <c r="K1" s="177"/>
    </row>
    <row r="2" spans="1:11" s="10" customFormat="1" ht="51">
      <c r="A2" s="6" t="s">
        <v>0</v>
      </c>
      <c r="B2" s="6" t="s">
        <v>1</v>
      </c>
      <c r="C2" s="6" t="s">
        <v>2</v>
      </c>
      <c r="D2" s="7" t="s">
        <v>3</v>
      </c>
      <c r="E2" s="7" t="s">
        <v>10</v>
      </c>
      <c r="F2" s="7" t="s">
        <v>11</v>
      </c>
      <c r="G2" s="7" t="s">
        <v>12</v>
      </c>
      <c r="H2" s="8" t="s">
        <v>13</v>
      </c>
      <c r="I2" s="9"/>
      <c r="J2" s="7" t="s">
        <v>14</v>
      </c>
      <c r="K2" s="7" t="s">
        <v>15</v>
      </c>
    </row>
    <row r="3" spans="1:11" ht="27">
      <c r="A3" s="11" t="s">
        <v>4</v>
      </c>
      <c r="B3" s="12">
        <v>37803</v>
      </c>
      <c r="C3" s="13" t="s">
        <v>5</v>
      </c>
      <c r="D3" s="14">
        <f>4910000/1000000</f>
        <v>4.91</v>
      </c>
      <c r="E3" s="15">
        <f>'03 SHSGP I'!E10/1000000</f>
        <v>4.89749551</v>
      </c>
      <c r="F3" s="15">
        <v>0</v>
      </c>
      <c r="G3" s="15">
        <f>D3-E3-F3</f>
        <v>0.012504490000000423</v>
      </c>
      <c r="H3" s="16">
        <f aca="true" t="shared" si="0" ref="H3:H8">G3/D3</f>
        <v>0.002546739307535728</v>
      </c>
      <c r="I3" s="17"/>
      <c r="J3" s="18">
        <f>4897499.99/1000000</f>
        <v>4.89749999</v>
      </c>
      <c r="K3" s="18">
        <f aca="true" t="shared" si="1" ref="K3:K8">E3-J3</f>
        <v>-4.480000000306461E-06</v>
      </c>
    </row>
    <row r="4" spans="1:11" ht="27">
      <c r="A4" s="11" t="s">
        <v>6</v>
      </c>
      <c r="B4" s="12">
        <v>38210</v>
      </c>
      <c r="C4" s="13" t="s">
        <v>144</v>
      </c>
      <c r="D4" s="14">
        <f>13006000/1000000</f>
        <v>13.006</v>
      </c>
      <c r="E4" s="15">
        <f>'03 SHSGP II'!F30/1000000</f>
        <v>12.681118849999999</v>
      </c>
      <c r="F4" s="15">
        <f>+'03 SHSGP II'!G30/1000000</f>
        <v>0.16906117</v>
      </c>
      <c r="G4" s="15">
        <f>D4-E4-F4</f>
        <v>0.15581998000000127</v>
      </c>
      <c r="H4" s="16">
        <f t="shared" si="0"/>
        <v>0.011980622789481876</v>
      </c>
      <c r="I4" s="17"/>
      <c r="J4" s="18">
        <v>12.2</v>
      </c>
      <c r="K4" s="18">
        <f t="shared" si="1"/>
        <v>0.48111884999999965</v>
      </c>
    </row>
    <row r="5" spans="1:11" ht="27">
      <c r="A5" s="11" t="s">
        <v>7</v>
      </c>
      <c r="B5" s="12">
        <v>38244</v>
      </c>
      <c r="C5" s="13" t="s">
        <v>8</v>
      </c>
      <c r="D5" s="14">
        <f>19136000/1000000</f>
        <v>19.136</v>
      </c>
      <c r="E5" s="15">
        <f>'04 SHSGP, LETPP, CCP'!E29/1000000</f>
        <v>12.762098720000001</v>
      </c>
      <c r="F5" s="15">
        <f>('04 SHSGP, LETPP, CCP'!F29+'04 SHSGP, LETPP, CCP'!G29)/1000000</f>
        <v>5.07614844</v>
      </c>
      <c r="G5" s="15">
        <f>D5-E5-F5</f>
        <v>1.2977528399999985</v>
      </c>
      <c r="H5" s="16">
        <f t="shared" si="0"/>
        <v>0.06781735158862869</v>
      </c>
      <c r="I5" s="17"/>
      <c r="J5" s="18">
        <v>7.9</v>
      </c>
      <c r="K5" s="18">
        <f t="shared" si="1"/>
        <v>4.8620987200000005</v>
      </c>
    </row>
    <row r="6" spans="1:11" ht="40.5">
      <c r="A6" s="11" t="s">
        <v>16</v>
      </c>
      <c r="B6" s="12">
        <v>38247</v>
      </c>
      <c r="C6" s="13" t="s">
        <v>145</v>
      </c>
      <c r="D6" s="14">
        <f>976174/1000000</f>
        <v>0.976174</v>
      </c>
      <c r="E6" s="15">
        <f>+'04 HSITEP'!D2/1000000</f>
        <v>0.6544368199999999</v>
      </c>
      <c r="F6" s="14">
        <f>+('04 HSITEP'!E2+'04 HSITEP'!F2)/1000000</f>
        <v>0.28948812</v>
      </c>
      <c r="G6" s="15">
        <f>D6-E6-F6</f>
        <v>0.03224906000000005</v>
      </c>
      <c r="H6" s="16">
        <f t="shared" si="0"/>
        <v>0.033036180025282434</v>
      </c>
      <c r="I6" s="17"/>
      <c r="J6" s="18">
        <v>0.825</v>
      </c>
      <c r="K6" s="18">
        <f t="shared" si="1"/>
        <v>-0.17056318000000004</v>
      </c>
    </row>
    <row r="7" spans="1:11" ht="27">
      <c r="A7" s="11" t="s">
        <v>17</v>
      </c>
      <c r="B7" s="12">
        <v>38412</v>
      </c>
      <c r="C7" s="13" t="s">
        <v>9</v>
      </c>
      <c r="D7" s="18">
        <f>(9184053+3339656+116592+1503841-2)/1000000</f>
        <v>14.14414</v>
      </c>
      <c r="E7" s="24">
        <f>'05 SHSGP, LETPP, CCP, EMPG'!G17/1000000</f>
        <v>1.5559836500000002</v>
      </c>
      <c r="F7" s="24">
        <f>('05 SHSGP, LETPP, CCP, EMPG'!H17+'05 SHSGP, LETPP, CCP, EMPG'!I17)/1000000</f>
        <v>4.79225674</v>
      </c>
      <c r="G7" s="24">
        <f>+D7-E7-F7</f>
        <v>7.79589961</v>
      </c>
      <c r="H7" s="16">
        <f t="shared" si="0"/>
        <v>0.5511752294589845</v>
      </c>
      <c r="I7" s="17"/>
      <c r="J7" s="18">
        <v>1.5</v>
      </c>
      <c r="K7" s="18">
        <f t="shared" si="1"/>
        <v>0.05598365000000016</v>
      </c>
    </row>
    <row r="8" spans="1:11" ht="27">
      <c r="A8" s="11" t="s">
        <v>141</v>
      </c>
      <c r="B8" s="12">
        <v>38527</v>
      </c>
      <c r="C8" s="13" t="s">
        <v>142</v>
      </c>
      <c r="D8" s="18">
        <v>1.2</v>
      </c>
      <c r="E8" s="24">
        <v>0</v>
      </c>
      <c r="F8" s="24">
        <v>0</v>
      </c>
      <c r="G8" s="24">
        <f>+D8-E8-F8</f>
        <v>1.2</v>
      </c>
      <c r="H8" s="16">
        <f t="shared" si="0"/>
        <v>1</v>
      </c>
      <c r="I8" s="17"/>
      <c r="J8" s="18"/>
      <c r="K8" s="18">
        <f t="shared" si="1"/>
        <v>0</v>
      </c>
    </row>
    <row r="9" spans="1:11" ht="14.25" thickBot="1">
      <c r="A9" s="2"/>
      <c r="B9" s="179" t="s">
        <v>135</v>
      </c>
      <c r="C9" s="179"/>
      <c r="D9" s="19">
        <f>SUM(D3:D8)</f>
        <v>53.372314</v>
      </c>
      <c r="E9" s="19">
        <f>SUM(E3:E8)</f>
        <v>32.55113355</v>
      </c>
      <c r="F9" s="19">
        <f>SUM(F3:F8)</f>
        <v>10.32695447</v>
      </c>
      <c r="G9" s="19">
        <f>SUM(G3:G8)</f>
        <v>10.49422598</v>
      </c>
      <c r="H9" s="19">
        <f>SUM(H3:H8)</f>
        <v>1.6665561231699133</v>
      </c>
      <c r="I9" s="17"/>
      <c r="J9" s="20">
        <f>SUM(J3:J8)</f>
        <v>27.32249999</v>
      </c>
      <c r="K9" s="20">
        <f>SUM(K3:K8)</f>
        <v>5.22863356</v>
      </c>
    </row>
    <row r="10" ht="13.5">
      <c r="I10" s="17"/>
    </row>
    <row r="11" spans="1:11" ht="74.25" customHeight="1">
      <c r="A11" s="178" t="s">
        <v>136</v>
      </c>
      <c r="B11" s="178"/>
      <c r="C11" s="178"/>
      <c r="D11" s="178"/>
      <c r="E11" s="178"/>
      <c r="F11" s="178"/>
      <c r="G11" s="178"/>
      <c r="H11" s="178"/>
      <c r="I11" s="178"/>
      <c r="J11" s="178"/>
      <c r="K11" s="178"/>
    </row>
    <row r="13" spans="1:6" ht="13.5">
      <c r="A13" s="132" t="s">
        <v>220</v>
      </c>
      <c r="B13" s="133"/>
      <c r="C13" s="110"/>
      <c r="D13" s="134"/>
      <c r="E13" s="135"/>
      <c r="F13" s="135"/>
    </row>
    <row r="14" spans="1:7" ht="13.5" customHeight="1">
      <c r="A14" s="136" t="s">
        <v>221</v>
      </c>
      <c r="B14" s="176" t="s">
        <v>228</v>
      </c>
      <c r="C14" s="176"/>
      <c r="D14" s="176"/>
      <c r="E14" s="176"/>
      <c r="F14" s="176"/>
      <c r="G14" s="176"/>
    </row>
    <row r="15" spans="1:6" ht="13.5">
      <c r="A15" s="137" t="s">
        <v>222</v>
      </c>
      <c r="B15" s="176" t="s">
        <v>223</v>
      </c>
      <c r="C15" s="176"/>
      <c r="D15" s="176"/>
      <c r="E15" s="176"/>
      <c r="F15" s="176"/>
    </row>
    <row r="16" spans="1:6" ht="13.5">
      <c r="A16" s="138" t="s">
        <v>224</v>
      </c>
      <c r="B16" s="176" t="s">
        <v>225</v>
      </c>
      <c r="C16" s="176"/>
      <c r="D16" s="176"/>
      <c r="E16" s="176"/>
      <c r="F16" s="176"/>
    </row>
    <row r="17" spans="1:6" ht="13.5">
      <c r="A17" s="139" t="s">
        <v>226</v>
      </c>
      <c r="B17" s="176" t="s">
        <v>227</v>
      </c>
      <c r="C17" s="176"/>
      <c r="D17" s="176"/>
      <c r="E17" s="176"/>
      <c r="F17" s="176"/>
    </row>
  </sheetData>
  <mergeCells count="7">
    <mergeCell ref="B16:F16"/>
    <mergeCell ref="B17:F17"/>
    <mergeCell ref="B14:G14"/>
    <mergeCell ref="E1:K1"/>
    <mergeCell ref="A11:K11"/>
    <mergeCell ref="B9:C9"/>
    <mergeCell ref="B15:F15"/>
  </mergeCells>
  <printOptions horizontalCentered="1"/>
  <pageMargins left="0.25" right="0.25" top="1" bottom="0.25" header="0.5" footer="0.26"/>
  <pageSetup fitToHeight="1" fitToWidth="1" horizontalDpi="600" verticalDpi="600" orientation="landscape" scale="97" r:id="rId3"/>
  <headerFooter alignWithMargins="0">
    <oddHeader>&amp;C&amp;"Trebuchet MS,Regular"&amp;F
&amp;A</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F18"/>
  <sheetViews>
    <sheetView zoomScale="95" zoomScaleNormal="95" workbookViewId="0" topLeftCell="A1">
      <pane xSplit="2" ySplit="1" topLeftCell="C2" activePane="bottomRight" state="frozen"/>
      <selection pane="topLeft" activeCell="E1" sqref="E1:K1"/>
      <selection pane="topRight" activeCell="E1" sqref="E1:K1"/>
      <selection pane="bottomLeft" activeCell="E1" sqref="E1:K1"/>
      <selection pane="bottomRight" activeCell="E1" sqref="E1:K1"/>
    </sheetView>
  </sheetViews>
  <sheetFormatPr defaultColWidth="9.140625" defaultRowHeight="12.75"/>
  <cols>
    <col min="1" max="1" width="11.00390625" style="59" customWidth="1"/>
    <col min="2" max="2" width="14.57421875" style="42" customWidth="1"/>
    <col min="3" max="3" width="45.28125" style="42" customWidth="1"/>
    <col min="4" max="4" width="16.140625" style="42" bestFit="1" customWidth="1"/>
    <col min="5" max="5" width="16.28125" style="42" bestFit="1" customWidth="1"/>
    <col min="6" max="6" width="13.8515625" style="42" bestFit="1" customWidth="1"/>
    <col min="7" max="16384" width="9.140625" style="42" customWidth="1"/>
  </cols>
  <sheetData>
    <row r="1" spans="1:6" ht="13.5" thickBot="1">
      <c r="A1" s="38" t="s">
        <v>18</v>
      </c>
      <c r="B1" s="39" t="s">
        <v>19</v>
      </c>
      <c r="C1" s="39" t="s">
        <v>20</v>
      </c>
      <c r="D1" s="40" t="s">
        <v>21</v>
      </c>
      <c r="E1" s="41" t="s">
        <v>22</v>
      </c>
      <c r="F1" s="40" t="s">
        <v>133</v>
      </c>
    </row>
    <row r="2" spans="1:6" ht="30" customHeight="1">
      <c r="A2" s="43" t="s">
        <v>26</v>
      </c>
      <c r="B2" s="44" t="s">
        <v>27</v>
      </c>
      <c r="C2" s="45" t="s">
        <v>28</v>
      </c>
      <c r="D2" s="46">
        <v>173850</v>
      </c>
      <c r="E2" s="47">
        <v>167753.17</v>
      </c>
      <c r="F2" s="46">
        <f>+D2-E2</f>
        <v>6096.829999999987</v>
      </c>
    </row>
    <row r="3" spans="1:6" ht="12.75">
      <c r="A3" s="48"/>
      <c r="B3" s="49" t="s">
        <v>29</v>
      </c>
      <c r="C3" s="50" t="s">
        <v>30</v>
      </c>
      <c r="D3" s="46">
        <v>813000</v>
      </c>
      <c r="E3" s="47">
        <v>812999.49</v>
      </c>
      <c r="F3" s="46">
        <f>+D3-E3</f>
        <v>0.5100000000093132</v>
      </c>
    </row>
    <row r="4" spans="1:6" ht="12.75">
      <c r="A4" s="48"/>
      <c r="B4" s="49" t="s">
        <v>31</v>
      </c>
      <c r="C4" s="50" t="s">
        <v>32</v>
      </c>
      <c r="D4" s="46">
        <v>258000</v>
      </c>
      <c r="E4" s="47">
        <v>258000</v>
      </c>
      <c r="F4" s="46">
        <f aca="true" t="shared" si="0" ref="F4:F9">+D4-E4</f>
        <v>0</v>
      </c>
    </row>
    <row r="5" spans="1:6" ht="25.5">
      <c r="A5" s="48"/>
      <c r="B5" s="49" t="s">
        <v>33</v>
      </c>
      <c r="C5" s="50" t="s">
        <v>34</v>
      </c>
      <c r="D5" s="46">
        <v>861000</v>
      </c>
      <c r="E5" s="47">
        <v>861000</v>
      </c>
      <c r="F5" s="46">
        <f t="shared" si="0"/>
        <v>0</v>
      </c>
    </row>
    <row r="6" spans="1:6" ht="38.25">
      <c r="A6" s="48" t="s">
        <v>35</v>
      </c>
      <c r="B6" s="49" t="s">
        <v>29</v>
      </c>
      <c r="C6" s="50" t="s">
        <v>36</v>
      </c>
      <c r="D6" s="46">
        <v>1579045</v>
      </c>
      <c r="E6" s="47">
        <v>1579043.55</v>
      </c>
      <c r="F6" s="46">
        <f t="shared" si="0"/>
        <v>1.4499999999534339</v>
      </c>
    </row>
    <row r="7" spans="1:6" ht="51">
      <c r="A7" s="48" t="s">
        <v>37</v>
      </c>
      <c r="B7" s="49" t="s">
        <v>29</v>
      </c>
      <c r="C7" s="50" t="s">
        <v>38</v>
      </c>
      <c r="D7" s="46">
        <v>1053955</v>
      </c>
      <c r="E7" s="47">
        <v>1048236.23</v>
      </c>
      <c r="F7" s="46">
        <f t="shared" si="0"/>
        <v>5718.770000000019</v>
      </c>
    </row>
    <row r="8" spans="1:6" ht="12.75">
      <c r="A8" s="48" t="s">
        <v>39</v>
      </c>
      <c r="B8" s="49" t="s">
        <v>40</v>
      </c>
      <c r="C8" s="50" t="s">
        <v>41</v>
      </c>
      <c r="D8" s="46">
        <v>52762.5</v>
      </c>
      <c r="E8" s="47">
        <v>52762.5</v>
      </c>
      <c r="F8" s="46">
        <f t="shared" si="0"/>
        <v>0</v>
      </c>
    </row>
    <row r="9" spans="1:6" ht="12.75">
      <c r="A9" s="51" t="s">
        <v>42</v>
      </c>
      <c r="B9" s="52" t="s">
        <v>43</v>
      </c>
      <c r="C9" s="53" t="s">
        <v>44</v>
      </c>
      <c r="D9" s="54">
        <f>171150-52762.5</f>
        <v>118387.5</v>
      </c>
      <c r="E9" s="55">
        <f>170463.07-E8</f>
        <v>117700.57</v>
      </c>
      <c r="F9" s="46">
        <f t="shared" si="0"/>
        <v>686.929999999993</v>
      </c>
    </row>
    <row r="10" spans="1:6" ht="13.5" thickBot="1">
      <c r="A10" s="56"/>
      <c r="B10" s="57"/>
      <c r="C10" s="57" t="s">
        <v>45</v>
      </c>
      <c r="D10" s="58">
        <f>SUM(D2:D9)</f>
        <v>4910000</v>
      </c>
      <c r="E10" s="58">
        <f>SUM(E2:E9)</f>
        <v>4897495.51</v>
      </c>
      <c r="F10" s="58">
        <f>SUM(F2:F9)</f>
        <v>12504.489999999962</v>
      </c>
    </row>
    <row r="12" ht="12.75">
      <c r="A12" s="42"/>
    </row>
    <row r="13" spans="1:6" ht="12.75">
      <c r="A13" s="180" t="s">
        <v>134</v>
      </c>
      <c r="B13" s="180"/>
      <c r="C13" s="180"/>
      <c r="D13" s="180"/>
      <c r="E13" s="180"/>
      <c r="F13" s="180"/>
    </row>
    <row r="14" spans="1:6" ht="12.75">
      <c r="A14" s="180"/>
      <c r="B14" s="180"/>
      <c r="C14" s="180"/>
      <c r="D14" s="180"/>
      <c r="E14" s="180"/>
      <c r="F14" s="180"/>
    </row>
    <row r="15" spans="1:6" ht="12.75">
      <c r="A15" s="180"/>
      <c r="B15" s="180"/>
      <c r="C15" s="180"/>
      <c r="D15" s="180"/>
      <c r="E15" s="180"/>
      <c r="F15" s="180"/>
    </row>
    <row r="16" spans="1:6" ht="12.75">
      <c r="A16" s="180"/>
      <c r="B16" s="180"/>
      <c r="C16" s="180"/>
      <c r="D16" s="180"/>
      <c r="E16" s="180"/>
      <c r="F16" s="180"/>
    </row>
    <row r="17" spans="1:6" ht="12.75">
      <c r="A17" s="180"/>
      <c r="B17" s="180"/>
      <c r="C17" s="180"/>
      <c r="D17" s="180"/>
      <c r="E17" s="180"/>
      <c r="F17" s="180"/>
    </row>
    <row r="18" spans="1:6" ht="12.75">
      <c r="A18" s="180"/>
      <c r="B18" s="180"/>
      <c r="C18" s="180"/>
      <c r="D18" s="180"/>
      <c r="E18" s="180"/>
      <c r="F18" s="180"/>
    </row>
  </sheetData>
  <mergeCells count="1">
    <mergeCell ref="A13:F18"/>
  </mergeCells>
  <printOptions horizontalCentered="1"/>
  <pageMargins left="0.25" right="0.25" top="1" bottom="1" header="0.5" footer="0.5"/>
  <pageSetup fitToHeight="1" fitToWidth="1" horizontalDpi="600" verticalDpi="600" orientation="landscape" r:id="rId1"/>
  <headerFooter alignWithMargins="0">
    <oddHeader>&amp;C&amp;"Trebuchet MS,Regular"&amp;F
&amp;A</oddHead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K56"/>
  <sheetViews>
    <sheetView zoomScale="90" zoomScaleNormal="90" workbookViewId="0" topLeftCell="A1">
      <pane xSplit="3" ySplit="1" topLeftCell="D5" activePane="bottomRight" state="frozen"/>
      <selection pane="topLeft" activeCell="E1" sqref="E1:K1"/>
      <selection pane="topRight" activeCell="E1" sqref="E1:K1"/>
      <selection pane="bottomLeft" activeCell="E1" sqref="E1:K1"/>
      <selection pane="bottomRight" activeCell="E15" sqref="E15"/>
    </sheetView>
  </sheetViews>
  <sheetFormatPr defaultColWidth="9.140625" defaultRowHeight="12.75"/>
  <cols>
    <col min="1" max="1" width="5.28125" style="60" customWidth="1"/>
    <col min="2" max="2" width="9.140625" style="61" customWidth="1"/>
    <col min="3" max="3" width="11.7109375" style="66" hidden="1" customWidth="1"/>
    <col min="4" max="4" width="43.7109375" style="66" customWidth="1"/>
    <col min="5" max="5" width="21.140625" style="68" bestFit="1" customWidth="1"/>
    <col min="6" max="6" width="20.140625" style="68" customWidth="1"/>
    <col min="7" max="7" width="19.00390625" style="68" customWidth="1"/>
    <col min="8" max="8" width="19.00390625" style="65" customWidth="1"/>
    <col min="9" max="9" width="19.8515625" style="71" customWidth="1"/>
    <col min="10" max="10" width="11.8515625" style="66" bestFit="1" customWidth="1"/>
    <col min="11" max="16384" width="9.140625" style="66" customWidth="1"/>
  </cols>
  <sheetData>
    <row r="1" spans="1:9" s="62" customFormat="1" ht="13.5" thickBot="1">
      <c r="A1" s="60"/>
      <c r="B1" s="61" t="s">
        <v>46</v>
      </c>
      <c r="C1" s="140" t="s">
        <v>18</v>
      </c>
      <c r="D1" s="140" t="s">
        <v>171</v>
      </c>
      <c r="E1" s="83" t="s">
        <v>21</v>
      </c>
      <c r="F1" s="83" t="s">
        <v>22</v>
      </c>
      <c r="G1" s="83" t="s">
        <v>23</v>
      </c>
      <c r="H1" s="83" t="s">
        <v>25</v>
      </c>
      <c r="I1" s="83" t="s">
        <v>138</v>
      </c>
    </row>
    <row r="2" spans="1:9" s="81" customFormat="1" ht="13.5" thickBot="1">
      <c r="A2" s="171"/>
      <c r="B2" s="172"/>
      <c r="C2" s="106"/>
      <c r="D2" s="173" t="s">
        <v>256</v>
      </c>
      <c r="E2" s="174">
        <f>13006000-SUM(E3:E29)</f>
        <v>153344.48000000045</v>
      </c>
      <c r="F2" s="174"/>
      <c r="G2" s="174"/>
      <c r="H2" s="174">
        <f>+E2-F2-G2</f>
        <v>153344.48000000045</v>
      </c>
      <c r="I2" s="175"/>
    </row>
    <row r="3" spans="1:9" ht="38.25" customHeight="1">
      <c r="A3" s="181" t="s">
        <v>175</v>
      </c>
      <c r="B3" s="72" t="s">
        <v>73</v>
      </c>
      <c r="C3" s="146" t="s">
        <v>72</v>
      </c>
      <c r="D3" s="73" t="s">
        <v>168</v>
      </c>
      <c r="E3" s="74">
        <f>338160-94477.95</f>
        <v>243682.05</v>
      </c>
      <c r="F3" s="74">
        <f>23300+29636.34+89394.31+64394.39+21940.69+100</f>
        <v>228765.72999999998</v>
      </c>
      <c r="G3" s="74">
        <v>12440.82</v>
      </c>
      <c r="H3" s="75">
        <f aca="true" t="shared" si="0" ref="H3:H30">+E3-F3-G3</f>
        <v>2475.5000000000073</v>
      </c>
      <c r="I3" s="142" t="s">
        <v>253</v>
      </c>
    </row>
    <row r="4" spans="1:9" s="69" customFormat="1" ht="51">
      <c r="A4" s="182"/>
      <c r="B4" s="70" t="s">
        <v>174</v>
      </c>
      <c r="C4" s="131" t="s">
        <v>137</v>
      </c>
      <c r="D4" s="63" t="s">
        <v>170</v>
      </c>
      <c r="E4" s="64">
        <v>256464</v>
      </c>
      <c r="F4" s="64">
        <f>256464-82778</f>
        <v>173686</v>
      </c>
      <c r="G4" s="64">
        <v>82778</v>
      </c>
      <c r="H4" s="68">
        <f t="shared" si="0"/>
        <v>0</v>
      </c>
      <c r="I4" s="144" t="s">
        <v>258</v>
      </c>
    </row>
    <row r="5" spans="1:9" ht="51">
      <c r="A5" s="182"/>
      <c r="B5" s="61" t="s">
        <v>47</v>
      </c>
      <c r="C5" s="131" t="s">
        <v>48</v>
      </c>
      <c r="D5" s="63" t="s">
        <v>147</v>
      </c>
      <c r="E5" s="64">
        <f>313000-1359.13</f>
        <v>311640.87</v>
      </c>
      <c r="F5" s="64">
        <v>266475.99</v>
      </c>
      <c r="G5" s="64">
        <v>45164.88</v>
      </c>
      <c r="H5" s="65">
        <f t="shared" si="0"/>
        <v>0</v>
      </c>
      <c r="I5" s="143" t="s">
        <v>261</v>
      </c>
    </row>
    <row r="6" spans="1:9" s="69" customFormat="1" ht="51.75" thickBot="1">
      <c r="A6" s="182"/>
      <c r="B6" s="67" t="s">
        <v>51</v>
      </c>
      <c r="C6" s="131" t="s">
        <v>52</v>
      </c>
      <c r="D6" s="63" t="s">
        <v>148</v>
      </c>
      <c r="E6" s="64">
        <v>998193.3</v>
      </c>
      <c r="F6" s="64">
        <f>965954.94+3560.89</f>
        <v>969515.83</v>
      </c>
      <c r="G6" s="64">
        <v>28677.47</v>
      </c>
      <c r="H6" s="65">
        <f>+E6-F6-G6</f>
        <v>8.731149137020111E-11</v>
      </c>
      <c r="I6" s="144" t="s">
        <v>260</v>
      </c>
    </row>
    <row r="7" spans="1:9" ht="25.5" customHeight="1">
      <c r="A7" s="183" t="s">
        <v>176</v>
      </c>
      <c r="B7" s="79" t="s">
        <v>172</v>
      </c>
      <c r="C7" s="146" t="s">
        <v>72</v>
      </c>
      <c r="D7" s="73" t="s">
        <v>169</v>
      </c>
      <c r="E7" s="74">
        <v>36878.15</v>
      </c>
      <c r="F7" s="74">
        <v>36878.15</v>
      </c>
      <c r="G7" s="74">
        <v>0</v>
      </c>
      <c r="H7" s="75">
        <f t="shared" si="0"/>
        <v>0</v>
      </c>
      <c r="I7" s="142"/>
    </row>
    <row r="8" spans="1:9" s="69" customFormat="1" ht="25.5">
      <c r="A8" s="184"/>
      <c r="B8" s="70" t="s">
        <v>172</v>
      </c>
      <c r="C8" s="131"/>
      <c r="D8" s="63" t="s">
        <v>154</v>
      </c>
      <c r="E8" s="64">
        <f>801000-69848.72-4986.28</f>
        <v>726165</v>
      </c>
      <c r="F8" s="64">
        <v>726165</v>
      </c>
      <c r="G8" s="64"/>
      <c r="H8" s="68">
        <f>+E8-F8-G8</f>
        <v>0</v>
      </c>
      <c r="I8" s="144"/>
    </row>
    <row r="9" spans="1:9" s="69" customFormat="1" ht="25.5">
      <c r="A9" s="184"/>
      <c r="B9" s="70" t="s">
        <v>173</v>
      </c>
      <c r="C9" s="131"/>
      <c r="D9" s="63" t="s">
        <v>166</v>
      </c>
      <c r="E9" s="64">
        <v>65953</v>
      </c>
      <c r="F9" s="64">
        <v>65953</v>
      </c>
      <c r="G9" s="64"/>
      <c r="H9" s="68">
        <f t="shared" si="0"/>
        <v>0</v>
      </c>
      <c r="I9" s="144"/>
    </row>
    <row r="10" spans="1:9" ht="12.75" customHeight="1">
      <c r="A10" s="184"/>
      <c r="B10" s="61" t="s">
        <v>47</v>
      </c>
      <c r="C10" s="131" t="s">
        <v>48</v>
      </c>
      <c r="D10" s="63" t="s">
        <v>159</v>
      </c>
      <c r="E10" s="64">
        <f>12000-3592.24-53.9</f>
        <v>8353.86</v>
      </c>
      <c r="F10" s="64">
        <v>8353.86</v>
      </c>
      <c r="G10" s="64">
        <v>0</v>
      </c>
      <c r="H10" s="65">
        <f>+E10-F10-G10</f>
        <v>0</v>
      </c>
      <c r="I10" s="143" t="s">
        <v>257</v>
      </c>
    </row>
    <row r="11" spans="1:9" ht="25.5">
      <c r="A11" s="184"/>
      <c r="B11" s="61" t="s">
        <v>49</v>
      </c>
      <c r="C11" s="131" t="s">
        <v>50</v>
      </c>
      <c r="D11" s="63" t="s">
        <v>160</v>
      </c>
      <c r="E11" s="64">
        <v>57412.23</v>
      </c>
      <c r="F11" s="64">
        <v>57412.23</v>
      </c>
      <c r="G11" s="64"/>
      <c r="H11" s="68">
        <f t="shared" si="0"/>
        <v>0</v>
      </c>
      <c r="I11" s="144"/>
    </row>
    <row r="12" spans="1:9" ht="25.5">
      <c r="A12" s="184"/>
      <c r="B12" s="61" t="s">
        <v>51</v>
      </c>
      <c r="C12" s="131" t="s">
        <v>52</v>
      </c>
      <c r="D12" s="63" t="s">
        <v>151</v>
      </c>
      <c r="E12" s="64">
        <f>105000+25000-141.01</f>
        <v>129858.99</v>
      </c>
      <c r="F12" s="64">
        <v>129858.99</v>
      </c>
      <c r="G12" s="64">
        <v>0</v>
      </c>
      <c r="H12" s="65">
        <f t="shared" si="0"/>
        <v>0</v>
      </c>
      <c r="I12" s="143" t="s">
        <v>249</v>
      </c>
    </row>
    <row r="13" spans="1:9" ht="25.5">
      <c r="A13" s="184"/>
      <c r="B13" s="67" t="s">
        <v>51</v>
      </c>
      <c r="C13" s="131" t="s">
        <v>52</v>
      </c>
      <c r="D13" s="63" t="s">
        <v>150</v>
      </c>
      <c r="E13" s="64">
        <f>35000-199.39</f>
        <v>34800.61</v>
      </c>
      <c r="F13" s="64">
        <v>34800.61</v>
      </c>
      <c r="G13" s="64">
        <v>0</v>
      </c>
      <c r="H13" s="68">
        <f t="shared" si="0"/>
        <v>0</v>
      </c>
      <c r="I13" s="144" t="s">
        <v>250</v>
      </c>
    </row>
    <row r="14" spans="1:9" ht="38.25">
      <c r="A14" s="184"/>
      <c r="B14" s="61" t="s">
        <v>51</v>
      </c>
      <c r="C14" s="131" t="s">
        <v>52</v>
      </c>
      <c r="D14" s="63" t="s">
        <v>161</v>
      </c>
      <c r="E14" s="64">
        <v>1734000</v>
      </c>
      <c r="F14" s="64">
        <v>1734000</v>
      </c>
      <c r="G14" s="64"/>
      <c r="H14" s="65">
        <f t="shared" si="0"/>
        <v>0</v>
      </c>
      <c r="I14" s="143"/>
    </row>
    <row r="15" spans="1:9" s="69" customFormat="1" ht="76.5" customHeight="1">
      <c r="A15" s="184"/>
      <c r="B15" s="67" t="s">
        <v>51</v>
      </c>
      <c r="C15" s="131" t="s">
        <v>52</v>
      </c>
      <c r="D15" s="63" t="s">
        <v>149</v>
      </c>
      <c r="E15" s="64">
        <v>1537536.08</v>
      </c>
      <c r="F15" s="64">
        <f>1505105.08+32431</f>
        <v>1537536.08</v>
      </c>
      <c r="G15" s="64">
        <v>0</v>
      </c>
      <c r="H15" s="68">
        <f>+E15-F15-G15</f>
        <v>0</v>
      </c>
      <c r="I15" s="144" t="s">
        <v>254</v>
      </c>
    </row>
    <row r="16" spans="1:9" s="69" customFormat="1" ht="25.5">
      <c r="A16" s="184"/>
      <c r="B16" s="67" t="s">
        <v>53</v>
      </c>
      <c r="C16" s="131" t="s">
        <v>54</v>
      </c>
      <c r="D16" s="63" t="s">
        <v>152</v>
      </c>
      <c r="E16" s="64">
        <f>866220.11+9500+32700+126883.8-35303.91</f>
        <v>1000000</v>
      </c>
      <c r="F16" s="64">
        <v>1000000</v>
      </c>
      <c r="G16" s="64">
        <v>0</v>
      </c>
      <c r="H16" s="68">
        <f t="shared" si="0"/>
        <v>0</v>
      </c>
      <c r="I16" s="144" t="s">
        <v>251</v>
      </c>
    </row>
    <row r="17" spans="1:11" ht="38.25">
      <c r="A17" s="184"/>
      <c r="B17" s="61" t="s">
        <v>53</v>
      </c>
      <c r="C17" s="141" t="s">
        <v>54</v>
      </c>
      <c r="D17" s="63" t="s">
        <v>162</v>
      </c>
      <c r="E17" s="64">
        <v>1637621.6</v>
      </c>
      <c r="F17" s="64">
        <v>1637621.6</v>
      </c>
      <c r="G17" s="64">
        <v>0</v>
      </c>
      <c r="H17" s="68">
        <f>+E17-F17-G17</f>
        <v>0</v>
      </c>
      <c r="I17" s="144" t="s">
        <v>259</v>
      </c>
      <c r="K17" s="66">
        <f>911.49+430</f>
        <v>1341.49</v>
      </c>
    </row>
    <row r="18" spans="1:9" ht="25.5">
      <c r="A18" s="184"/>
      <c r="B18" s="61" t="s">
        <v>55</v>
      </c>
      <c r="C18" s="141" t="s">
        <v>56</v>
      </c>
      <c r="D18" s="63" t="s">
        <v>153</v>
      </c>
      <c r="E18" s="64">
        <f>1618759.03</f>
        <v>1618759.03</v>
      </c>
      <c r="F18" s="64">
        <f>1599959.03+18800</f>
        <v>1618759.03</v>
      </c>
      <c r="G18" s="64">
        <v>0</v>
      </c>
      <c r="H18" s="65">
        <f>+E18-F18-G18</f>
        <v>0</v>
      </c>
      <c r="I18" s="143"/>
    </row>
    <row r="19" spans="1:9" s="69" customFormat="1" ht="38.25">
      <c r="A19" s="184"/>
      <c r="B19" s="67" t="s">
        <v>57</v>
      </c>
      <c r="C19" s="131" t="s">
        <v>58</v>
      </c>
      <c r="D19" s="63" t="s">
        <v>163</v>
      </c>
      <c r="E19" s="64">
        <v>64873.14</v>
      </c>
      <c r="F19" s="64">
        <v>64873.14</v>
      </c>
      <c r="G19" s="64"/>
      <c r="H19" s="68">
        <f t="shared" si="0"/>
        <v>0</v>
      </c>
      <c r="I19" s="144" t="s">
        <v>252</v>
      </c>
    </row>
    <row r="20" spans="1:9" s="69" customFormat="1" ht="25.5">
      <c r="A20" s="184"/>
      <c r="B20" s="67" t="s">
        <v>59</v>
      </c>
      <c r="C20" s="131" t="s">
        <v>60</v>
      </c>
      <c r="D20" s="63" t="s">
        <v>154</v>
      </c>
      <c r="E20" s="64">
        <v>69848.72</v>
      </c>
      <c r="F20" s="64">
        <v>69848.72</v>
      </c>
      <c r="G20" s="64"/>
      <c r="H20" s="68">
        <f t="shared" si="0"/>
        <v>0</v>
      </c>
      <c r="I20" s="144"/>
    </row>
    <row r="21" spans="1:9" s="69" customFormat="1" ht="25.5">
      <c r="A21" s="184"/>
      <c r="B21" s="67" t="s">
        <v>61</v>
      </c>
      <c r="C21" s="131" t="s">
        <v>62</v>
      </c>
      <c r="D21" s="63" t="s">
        <v>164</v>
      </c>
      <c r="E21" s="64">
        <v>229302.1</v>
      </c>
      <c r="F21" s="64">
        <v>229302.1</v>
      </c>
      <c r="G21" s="64">
        <v>0</v>
      </c>
      <c r="H21" s="68">
        <f t="shared" si="0"/>
        <v>0</v>
      </c>
      <c r="I21" s="144"/>
    </row>
    <row r="22" spans="1:10" ht="25.5">
      <c r="A22" s="184"/>
      <c r="B22" s="61" t="s">
        <v>63</v>
      </c>
      <c r="C22" s="131" t="s">
        <v>64</v>
      </c>
      <c r="D22" s="63" t="s">
        <v>156</v>
      </c>
      <c r="E22" s="64">
        <f>537937.2-3000</f>
        <v>534937.2</v>
      </c>
      <c r="F22" s="64">
        <v>534937.2</v>
      </c>
      <c r="G22" s="64">
        <v>0</v>
      </c>
      <c r="H22" s="68">
        <f t="shared" si="0"/>
        <v>0</v>
      </c>
      <c r="I22" s="144" t="s">
        <v>247</v>
      </c>
      <c r="J22" s="148"/>
    </row>
    <row r="23" spans="1:10" ht="25.5">
      <c r="A23" s="184"/>
      <c r="B23" s="61" t="s">
        <v>63</v>
      </c>
      <c r="C23" s="131" t="s">
        <v>64</v>
      </c>
      <c r="D23" s="63" t="s">
        <v>155</v>
      </c>
      <c r="E23" s="64">
        <f>216136.29-1790.51</f>
        <v>214345.78</v>
      </c>
      <c r="F23" s="64">
        <v>214345.78</v>
      </c>
      <c r="G23" s="64">
        <v>0</v>
      </c>
      <c r="H23" s="68">
        <f t="shared" si="0"/>
        <v>0</v>
      </c>
      <c r="I23" s="144" t="s">
        <v>248</v>
      </c>
      <c r="J23" s="148"/>
    </row>
    <row r="24" spans="1:9" ht="12.75">
      <c r="A24" s="184"/>
      <c r="B24" s="61" t="s">
        <v>65</v>
      </c>
      <c r="C24" s="131" t="s">
        <v>66</v>
      </c>
      <c r="D24" s="63" t="s">
        <v>165</v>
      </c>
      <c r="E24" s="64">
        <v>4379</v>
      </c>
      <c r="F24" s="64">
        <v>4379</v>
      </c>
      <c r="G24" s="64"/>
      <c r="H24" s="68">
        <f t="shared" si="0"/>
        <v>0</v>
      </c>
      <c r="I24" s="144"/>
    </row>
    <row r="25" spans="1:9" s="69" customFormat="1" ht="25.5">
      <c r="A25" s="184"/>
      <c r="B25" s="67" t="s">
        <v>69</v>
      </c>
      <c r="C25" s="131" t="s">
        <v>70</v>
      </c>
      <c r="D25" s="63" t="s">
        <v>166</v>
      </c>
      <c r="E25" s="64">
        <v>503261.21</v>
      </c>
      <c r="F25" s="64">
        <v>503261.21</v>
      </c>
      <c r="G25" s="64"/>
      <c r="H25" s="68">
        <f t="shared" si="0"/>
        <v>0</v>
      </c>
      <c r="I25" s="144"/>
    </row>
    <row r="26" spans="1:9" s="69" customFormat="1" ht="25.5">
      <c r="A26" s="184"/>
      <c r="B26" s="67" t="s">
        <v>69</v>
      </c>
      <c r="C26" s="131" t="s">
        <v>146</v>
      </c>
      <c r="D26" s="63" t="s">
        <v>158</v>
      </c>
      <c r="E26" s="64">
        <v>391266.68</v>
      </c>
      <c r="F26" s="64">
        <v>391266.68</v>
      </c>
      <c r="G26" s="64">
        <v>0</v>
      </c>
      <c r="H26" s="68">
        <f t="shared" si="0"/>
        <v>0</v>
      </c>
      <c r="I26" s="144"/>
    </row>
    <row r="27" spans="1:9" ht="25.5">
      <c r="A27" s="184"/>
      <c r="B27" s="61" t="s">
        <v>67</v>
      </c>
      <c r="C27" s="131" t="s">
        <v>68</v>
      </c>
      <c r="D27" s="63" t="s">
        <v>157</v>
      </c>
      <c r="E27" s="64">
        <f>247710-69070</f>
        <v>178640</v>
      </c>
      <c r="F27" s="64">
        <v>178640</v>
      </c>
      <c r="G27" s="64">
        <v>0</v>
      </c>
      <c r="H27" s="65">
        <f>+E27-F27-G27</f>
        <v>0</v>
      </c>
      <c r="I27" s="144" t="s">
        <v>255</v>
      </c>
    </row>
    <row r="28" spans="1:9" s="69" customFormat="1" ht="25.5">
      <c r="A28" s="184"/>
      <c r="B28" s="67" t="s">
        <v>73</v>
      </c>
      <c r="C28" s="131"/>
      <c r="D28" s="63" t="s">
        <v>229</v>
      </c>
      <c r="E28" s="64">
        <v>170004.97</v>
      </c>
      <c r="F28" s="64">
        <v>170004.97</v>
      </c>
      <c r="G28" s="64">
        <v>0</v>
      </c>
      <c r="H28" s="68">
        <f t="shared" si="0"/>
        <v>0</v>
      </c>
      <c r="I28" s="144"/>
    </row>
    <row r="29" spans="1:9" ht="13.5" thickBot="1">
      <c r="A29" s="185"/>
      <c r="B29" s="78" t="s">
        <v>219</v>
      </c>
      <c r="C29" s="145" t="s">
        <v>71</v>
      </c>
      <c r="D29" s="76" t="s">
        <v>167</v>
      </c>
      <c r="E29" s="77">
        <v>94477.95</v>
      </c>
      <c r="F29" s="77">
        <v>94477.95</v>
      </c>
      <c r="G29" s="77"/>
      <c r="H29" s="80">
        <f t="shared" si="0"/>
        <v>0</v>
      </c>
      <c r="I29" s="147"/>
    </row>
    <row r="30" spans="1:9" ht="13.5" thickBot="1">
      <c r="A30" s="166"/>
      <c r="B30" s="78"/>
      <c r="C30" s="167"/>
      <c r="D30" s="168" t="s">
        <v>177</v>
      </c>
      <c r="E30" s="169">
        <f>SUM(E1:E29)</f>
        <v>13006000</v>
      </c>
      <c r="F30" s="169">
        <f>SUM(F1:F29)</f>
        <v>12681118.85</v>
      </c>
      <c r="G30" s="169">
        <f>SUM(G1:G29)</f>
        <v>169061.17</v>
      </c>
      <c r="H30" s="169">
        <f t="shared" si="0"/>
        <v>155819.98000000036</v>
      </c>
      <c r="I30" s="170"/>
    </row>
    <row r="32" spans="6:8" ht="12.75">
      <c r="F32" s="165">
        <f>+F30/$E$30</f>
        <v>0.9750206712286636</v>
      </c>
      <c r="G32" s="165">
        <f>+G30/$E$30</f>
        <v>0.01299870598185453</v>
      </c>
      <c r="H32" s="165">
        <f>+H30/$E$30</f>
        <v>0.011980622789481806</v>
      </c>
    </row>
    <row r="34" ht="12.75">
      <c r="F34" s="163"/>
    </row>
    <row r="35" ht="12.75">
      <c r="F35" s="163"/>
    </row>
    <row r="36" spans="5:9" ht="12.75">
      <c r="E36" s="71"/>
      <c r="F36" s="164"/>
      <c r="G36" s="66"/>
      <c r="H36" s="66"/>
      <c r="I36" s="66"/>
    </row>
    <row r="37" spans="5:9" ht="12.75">
      <c r="E37" s="71"/>
      <c r="F37" s="164"/>
      <c r="G37" s="66"/>
      <c r="H37" s="66"/>
      <c r="I37" s="66"/>
    </row>
    <row r="38" spans="5:9" ht="12.75">
      <c r="E38" s="66"/>
      <c r="F38" s="164"/>
      <c r="G38" s="66"/>
      <c r="H38" s="66"/>
      <c r="I38" s="66"/>
    </row>
    <row r="39" spans="5:9" ht="12.75">
      <c r="E39" s="66"/>
      <c r="F39" s="164"/>
      <c r="G39" s="66"/>
      <c r="H39" s="66"/>
      <c r="I39" s="66"/>
    </row>
    <row r="40" spans="5:9" ht="12.75">
      <c r="E40" s="66"/>
      <c r="F40" s="164"/>
      <c r="G40" s="66"/>
      <c r="H40" s="66"/>
      <c r="I40" s="66"/>
    </row>
    <row r="41" spans="5:9" ht="12.75">
      <c r="E41" s="66"/>
      <c r="F41" s="164"/>
      <c r="G41" s="66"/>
      <c r="H41" s="66"/>
      <c r="I41" s="66"/>
    </row>
    <row r="42" spans="5:9" ht="12.75">
      <c r="E42" s="66"/>
      <c r="F42" s="164"/>
      <c r="G42" s="66"/>
      <c r="H42" s="66"/>
      <c r="I42" s="66"/>
    </row>
    <row r="43" spans="5:9" ht="12.75">
      <c r="E43" s="66"/>
      <c r="F43" s="164"/>
      <c r="G43" s="66"/>
      <c r="H43" s="66"/>
      <c r="I43" s="66"/>
    </row>
    <row r="44" spans="5:9" ht="12.75">
      <c r="E44" s="66"/>
      <c r="F44" s="66"/>
      <c r="G44" s="66"/>
      <c r="H44" s="66"/>
      <c r="I44" s="66"/>
    </row>
    <row r="45" spans="5:9" ht="12.75">
      <c r="E45" s="66"/>
      <c r="F45" s="148"/>
      <c r="G45" s="66"/>
      <c r="H45" s="66"/>
      <c r="I45" s="66"/>
    </row>
    <row r="46" spans="5:9" ht="12.75">
      <c r="E46" s="66"/>
      <c r="F46" s="148"/>
      <c r="G46" s="66"/>
      <c r="H46" s="66"/>
      <c r="I46" s="66"/>
    </row>
    <row r="47" spans="5:9" ht="12.75">
      <c r="E47" s="66"/>
      <c r="F47" s="66"/>
      <c r="G47" s="66"/>
      <c r="H47" s="66"/>
      <c r="I47" s="66"/>
    </row>
    <row r="48" spans="5:9" ht="12.75">
      <c r="E48" s="66"/>
      <c r="F48" s="66"/>
      <c r="G48" s="66"/>
      <c r="H48" s="66"/>
      <c r="I48" s="66"/>
    </row>
    <row r="49" spans="5:9" ht="12.75">
      <c r="E49" s="66"/>
      <c r="F49" s="66"/>
      <c r="G49" s="66"/>
      <c r="H49" s="66"/>
      <c r="I49" s="66"/>
    </row>
    <row r="50" spans="5:9" ht="12.75">
      <c r="E50" s="66"/>
      <c r="F50" s="66"/>
      <c r="G50" s="66"/>
      <c r="H50" s="66"/>
      <c r="I50" s="66"/>
    </row>
    <row r="51" spans="5:9" ht="12.75">
      <c r="E51" s="66"/>
      <c r="F51" s="66"/>
      <c r="G51" s="66"/>
      <c r="H51" s="66"/>
      <c r="I51" s="66"/>
    </row>
    <row r="52" spans="5:9" ht="12.75">
      <c r="E52" s="66"/>
      <c r="F52" s="66"/>
      <c r="G52" s="66"/>
      <c r="H52" s="66"/>
      <c r="I52" s="66"/>
    </row>
    <row r="53" spans="5:9" ht="12.75">
      <c r="E53" s="66"/>
      <c r="F53" s="66"/>
      <c r="G53" s="66"/>
      <c r="H53" s="66"/>
      <c r="I53" s="66"/>
    </row>
    <row r="54" spans="5:9" ht="12.75">
      <c r="E54" s="66"/>
      <c r="F54" s="66"/>
      <c r="G54" s="66"/>
      <c r="H54" s="66"/>
      <c r="I54" s="66"/>
    </row>
    <row r="55" spans="5:9" ht="12.75">
      <c r="E55" s="71"/>
      <c r="F55" s="66"/>
      <c r="G55" s="66"/>
      <c r="H55" s="66"/>
      <c r="I55" s="66"/>
    </row>
    <row r="56" spans="5:9" ht="12.75">
      <c r="E56" s="71"/>
      <c r="F56" s="66"/>
      <c r="G56" s="66"/>
      <c r="H56" s="66"/>
      <c r="I56" s="66"/>
    </row>
  </sheetData>
  <autoFilter ref="A1:I30"/>
  <mergeCells count="2">
    <mergeCell ref="A3:A6"/>
    <mergeCell ref="A7:A29"/>
  </mergeCells>
  <printOptions gridLines="1" horizontalCentered="1"/>
  <pageMargins left="0.25" right="0.25" top="1" bottom="0.65" header="0.5" footer="0.5"/>
  <pageSetup fitToHeight="3" fitToWidth="1" horizontalDpi="600" verticalDpi="600" orientation="landscape" scale="86" r:id="rId1"/>
  <headerFooter alignWithMargins="0">
    <oddHeader>&amp;C&amp;"Trebuchet MS,Regular"&amp;F
&amp;A</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J41"/>
  <sheetViews>
    <sheetView workbookViewId="0" topLeftCell="A1">
      <pane xSplit="2" ySplit="1" topLeftCell="C14" activePane="bottomRight" state="frozen"/>
      <selection pane="topLeft" activeCell="E1" sqref="E1:K1"/>
      <selection pane="topRight" activeCell="E1" sqref="E1:K1"/>
      <selection pane="bottomLeft" activeCell="E1" sqref="E1:K1"/>
      <selection pane="bottomRight" activeCell="E1" sqref="E1:K1"/>
    </sheetView>
  </sheetViews>
  <sheetFormatPr defaultColWidth="9.140625" defaultRowHeight="12.75"/>
  <cols>
    <col min="1" max="1" width="5.7109375" style="97" customWidth="1"/>
    <col min="2" max="2" width="9.140625" style="70" customWidth="1"/>
    <col min="3" max="3" width="33.140625" style="69" customWidth="1"/>
    <col min="4" max="4" width="13.421875" style="69" customWidth="1"/>
    <col min="5" max="5" width="13.140625" style="69" bestFit="1" customWidth="1"/>
    <col min="6" max="6" width="12.57421875" style="69" customWidth="1"/>
    <col min="7" max="7" width="13.421875" style="86" customWidth="1"/>
    <col min="8" max="8" width="13.140625" style="81" customWidth="1"/>
    <col min="9" max="9" width="24.8515625" style="63" customWidth="1"/>
    <col min="10" max="16384" width="9.140625" style="69" customWidth="1"/>
  </cols>
  <sheetData>
    <row r="1" spans="1:9" s="81" customFormat="1" ht="26.25" thickBot="1">
      <c r="A1" s="96"/>
      <c r="B1" s="70" t="s">
        <v>46</v>
      </c>
      <c r="C1" s="82"/>
      <c r="D1" s="154" t="s">
        <v>21</v>
      </c>
      <c r="E1" s="83" t="s">
        <v>22</v>
      </c>
      <c r="F1" s="83" t="s">
        <v>23</v>
      </c>
      <c r="G1" s="84" t="s">
        <v>24</v>
      </c>
      <c r="H1" s="149" t="s">
        <v>25</v>
      </c>
      <c r="I1" s="83" t="s">
        <v>138</v>
      </c>
    </row>
    <row r="2" spans="1:9" ht="51">
      <c r="A2" s="189" t="s">
        <v>216</v>
      </c>
      <c r="B2" s="106" t="s">
        <v>215</v>
      </c>
      <c r="C2" s="73" t="s">
        <v>200</v>
      </c>
      <c r="D2" s="155">
        <f>19136000-SUM(D3:D28)</f>
        <v>200552.05000000075</v>
      </c>
      <c r="E2" s="99">
        <v>0</v>
      </c>
      <c r="F2" s="99">
        <v>0</v>
      </c>
      <c r="G2" s="100">
        <v>0</v>
      </c>
      <c r="H2" s="150">
        <f aca="true" t="shared" si="0" ref="H2:H20">+D2-SUM(E2:G2)</f>
        <v>200552.05000000075</v>
      </c>
      <c r="I2" s="101" t="s">
        <v>231</v>
      </c>
    </row>
    <row r="3" spans="1:9" ht="25.5">
      <c r="A3" s="190"/>
      <c r="B3" s="70" t="s">
        <v>215</v>
      </c>
      <c r="C3" s="63" t="s">
        <v>199</v>
      </c>
      <c r="D3" s="156">
        <f>435720-150000</f>
        <v>285720</v>
      </c>
      <c r="E3" s="85">
        <f>1008.21+5755.82+48186.39</f>
        <v>54950.42</v>
      </c>
      <c r="F3" s="85">
        <v>15000</v>
      </c>
      <c r="G3" s="86">
        <v>0</v>
      </c>
      <c r="H3" s="151">
        <f t="shared" si="0"/>
        <v>215769.58000000002</v>
      </c>
      <c r="I3" s="102" t="s">
        <v>230</v>
      </c>
    </row>
    <row r="4" spans="1:9" ht="114.75">
      <c r="A4" s="190"/>
      <c r="B4" s="70" t="s">
        <v>203</v>
      </c>
      <c r="C4" s="63" t="s">
        <v>179</v>
      </c>
      <c r="D4" s="156">
        <v>739010</v>
      </c>
      <c r="E4" s="85">
        <v>505008.68</v>
      </c>
      <c r="F4" s="85">
        <v>75046.85</v>
      </c>
      <c r="G4" s="86">
        <v>0</v>
      </c>
      <c r="H4" s="151">
        <f t="shared" si="0"/>
        <v>158954.46999999997</v>
      </c>
      <c r="I4" s="102" t="s">
        <v>237</v>
      </c>
    </row>
    <row r="5" spans="1:9" ht="38.25">
      <c r="A5" s="190"/>
      <c r="B5" s="70" t="s">
        <v>203</v>
      </c>
      <c r="C5" s="63" t="s">
        <v>181</v>
      </c>
      <c r="D5" s="156">
        <f>384000+102321</f>
        <v>486321</v>
      </c>
      <c r="E5" s="85">
        <f>413418.8-10101.59</f>
        <v>403317.20999999996</v>
      </c>
      <c r="F5" s="85">
        <v>24875.99</v>
      </c>
      <c r="G5" s="86">
        <v>0</v>
      </c>
      <c r="H5" s="151">
        <f t="shared" si="0"/>
        <v>58127.80000000005</v>
      </c>
      <c r="I5" s="102" t="s">
        <v>238</v>
      </c>
    </row>
    <row r="6" spans="1:9" ht="76.5">
      <c r="A6" s="190"/>
      <c r="B6" s="70" t="s">
        <v>204</v>
      </c>
      <c r="C6" s="63" t="s">
        <v>184</v>
      </c>
      <c r="D6" s="156">
        <v>2706424</v>
      </c>
      <c r="E6" s="85">
        <f>1567048.54+33000</f>
        <v>1600048.54</v>
      </c>
      <c r="F6" s="85">
        <v>1043325.75</v>
      </c>
      <c r="G6" s="86">
        <v>34635</v>
      </c>
      <c r="H6" s="151">
        <f t="shared" si="0"/>
        <v>28414.709999999963</v>
      </c>
      <c r="I6" s="102"/>
    </row>
    <row r="7" spans="1:9" ht="25.5">
      <c r="A7" s="190"/>
      <c r="B7" s="70" t="s">
        <v>204</v>
      </c>
      <c r="C7" s="63" t="s">
        <v>185</v>
      </c>
      <c r="D7" s="156">
        <v>87650</v>
      </c>
      <c r="E7" s="85">
        <v>0</v>
      </c>
      <c r="F7" s="85">
        <v>64650</v>
      </c>
      <c r="G7" s="86">
        <v>0</v>
      </c>
      <c r="H7" s="151">
        <f t="shared" si="0"/>
        <v>23000</v>
      </c>
      <c r="I7" s="102"/>
    </row>
    <row r="8" spans="1:9" ht="51">
      <c r="A8" s="190"/>
      <c r="B8" s="70" t="s">
        <v>205</v>
      </c>
      <c r="C8" s="63" t="s">
        <v>186</v>
      </c>
      <c r="D8" s="156">
        <f>1957000-88970.67</f>
        <v>1868029.33</v>
      </c>
      <c r="E8" s="85">
        <v>1760857.73</v>
      </c>
      <c r="F8" s="85">
        <v>93758.6</v>
      </c>
      <c r="G8" s="86">
        <v>0</v>
      </c>
      <c r="H8" s="151">
        <f t="shared" si="0"/>
        <v>13413</v>
      </c>
      <c r="I8" s="102" t="s">
        <v>239</v>
      </c>
    </row>
    <row r="9" spans="1:9" ht="38.25">
      <c r="A9" s="190"/>
      <c r="B9" s="70" t="s">
        <v>205</v>
      </c>
      <c r="C9" s="63" t="s">
        <v>187</v>
      </c>
      <c r="D9" s="156">
        <f>200000-163600+252570.67</f>
        <v>288970.67000000004</v>
      </c>
      <c r="E9" s="85">
        <v>208700</v>
      </c>
      <c r="F9" s="85">
        <v>8700</v>
      </c>
      <c r="G9" s="86">
        <v>0</v>
      </c>
      <c r="H9" s="151">
        <f t="shared" si="0"/>
        <v>71570.67000000004</v>
      </c>
      <c r="I9" s="102" t="s">
        <v>240</v>
      </c>
    </row>
    <row r="10" spans="1:9" ht="25.5">
      <c r="A10" s="190"/>
      <c r="B10" s="70" t="s">
        <v>206</v>
      </c>
      <c r="C10" s="63" t="s">
        <v>188</v>
      </c>
      <c r="D10" s="156">
        <v>1430722</v>
      </c>
      <c r="E10" s="85">
        <v>1430722.22</v>
      </c>
      <c r="F10" s="85"/>
      <c r="G10" s="86">
        <v>0</v>
      </c>
      <c r="H10" s="151">
        <f t="shared" si="0"/>
        <v>-0.21999999997206032</v>
      </c>
      <c r="I10" s="102"/>
    </row>
    <row r="11" spans="1:9" ht="76.5">
      <c r="A11" s="190"/>
      <c r="B11" s="70" t="s">
        <v>207</v>
      </c>
      <c r="C11" s="63" t="s">
        <v>189</v>
      </c>
      <c r="D11" s="156">
        <v>200000</v>
      </c>
      <c r="E11" s="85">
        <v>0</v>
      </c>
      <c r="F11" s="85">
        <v>0</v>
      </c>
      <c r="G11" s="86">
        <v>200000</v>
      </c>
      <c r="H11" s="151">
        <f t="shared" si="0"/>
        <v>0</v>
      </c>
      <c r="I11" s="102" t="s">
        <v>241</v>
      </c>
    </row>
    <row r="12" spans="1:9" ht="25.5">
      <c r="A12" s="190"/>
      <c r="B12" s="70" t="s">
        <v>208</v>
      </c>
      <c r="C12" s="63" t="s">
        <v>190</v>
      </c>
      <c r="D12" s="156">
        <f>145000-80000</f>
        <v>65000</v>
      </c>
      <c r="E12" s="85">
        <v>36980</v>
      </c>
      <c r="F12" s="85">
        <v>0</v>
      </c>
      <c r="G12" s="86">
        <v>0</v>
      </c>
      <c r="H12" s="151">
        <f t="shared" si="0"/>
        <v>28020</v>
      </c>
      <c r="I12" s="102"/>
    </row>
    <row r="13" spans="1:9" ht="25.5">
      <c r="A13" s="190"/>
      <c r="B13" s="70" t="s">
        <v>209</v>
      </c>
      <c r="C13" s="63" t="s">
        <v>191</v>
      </c>
      <c r="D13" s="156">
        <v>319700</v>
      </c>
      <c r="E13" s="85">
        <v>241823.31</v>
      </c>
      <c r="F13" s="85">
        <v>16107.06</v>
      </c>
      <c r="G13" s="86">
        <v>30000</v>
      </c>
      <c r="H13" s="151">
        <f t="shared" si="0"/>
        <v>31769.630000000005</v>
      </c>
      <c r="I13" s="102" t="s">
        <v>242</v>
      </c>
    </row>
    <row r="14" spans="1:9" ht="25.5">
      <c r="A14" s="190"/>
      <c r="B14" s="70" t="s">
        <v>210</v>
      </c>
      <c r="C14" s="63" t="s">
        <v>190</v>
      </c>
      <c r="D14" s="156">
        <v>50000</v>
      </c>
      <c r="E14" s="85">
        <v>0</v>
      </c>
      <c r="F14" s="85">
        <v>0</v>
      </c>
      <c r="G14" s="86">
        <v>0</v>
      </c>
      <c r="H14" s="151">
        <f t="shared" si="0"/>
        <v>50000</v>
      </c>
      <c r="I14" s="102" t="s">
        <v>232</v>
      </c>
    </row>
    <row r="15" spans="1:9" ht="12.75">
      <c r="A15" s="190"/>
      <c r="B15" s="70" t="s">
        <v>214</v>
      </c>
      <c r="C15" s="63" t="s">
        <v>198</v>
      </c>
      <c r="D15" s="156">
        <v>150000</v>
      </c>
      <c r="E15" s="85">
        <v>115864.72</v>
      </c>
      <c r="F15" s="85">
        <v>0</v>
      </c>
      <c r="H15" s="151">
        <f t="shared" si="0"/>
        <v>34135.28</v>
      </c>
      <c r="I15" s="102" t="s">
        <v>243</v>
      </c>
    </row>
    <row r="16" spans="1:9" ht="25.5">
      <c r="A16" s="190"/>
      <c r="B16" s="70" t="s">
        <v>211</v>
      </c>
      <c r="C16" s="63" t="s">
        <v>193</v>
      </c>
      <c r="D16" s="85">
        <v>137500</v>
      </c>
      <c r="E16" s="85">
        <f>6173.23+25000</f>
        <v>31173.23</v>
      </c>
      <c r="F16" s="85">
        <v>0</v>
      </c>
      <c r="G16" s="86">
        <v>12400</v>
      </c>
      <c r="H16" s="86">
        <f t="shared" si="0"/>
        <v>93926.77</v>
      </c>
      <c r="I16" s="102"/>
    </row>
    <row r="17" spans="1:9" ht="25.5">
      <c r="A17" s="190"/>
      <c r="B17" s="70" t="s">
        <v>211</v>
      </c>
      <c r="C17" s="63" t="s">
        <v>194</v>
      </c>
      <c r="D17" s="85">
        <v>100000</v>
      </c>
      <c r="E17" s="85">
        <v>4700</v>
      </c>
      <c r="F17" s="85">
        <v>0</v>
      </c>
      <c r="G17" s="86">
        <v>0</v>
      </c>
      <c r="H17" s="86">
        <f t="shared" si="0"/>
        <v>95300</v>
      </c>
      <c r="I17" s="102"/>
    </row>
    <row r="18" spans="1:9" ht="26.25" thickBot="1">
      <c r="A18" s="191"/>
      <c r="B18" s="158" t="s">
        <v>212</v>
      </c>
      <c r="C18" s="159" t="s">
        <v>195</v>
      </c>
      <c r="D18" s="160">
        <v>350000</v>
      </c>
      <c r="E18" s="160">
        <v>16320</v>
      </c>
      <c r="F18" s="160">
        <v>0</v>
      </c>
      <c r="G18" s="161">
        <v>163764.6</v>
      </c>
      <c r="H18" s="161">
        <f t="shared" si="0"/>
        <v>169915.4</v>
      </c>
      <c r="I18" s="162" t="s">
        <v>246</v>
      </c>
    </row>
    <row r="19" spans="1:9" ht="51">
      <c r="A19" s="192" t="s">
        <v>175</v>
      </c>
      <c r="B19" s="106" t="s">
        <v>202</v>
      </c>
      <c r="C19" s="73" t="s">
        <v>178</v>
      </c>
      <c r="D19" s="155">
        <v>302000</v>
      </c>
      <c r="E19" s="99">
        <f>159921.21+329.4</f>
        <v>160250.61</v>
      </c>
      <c r="F19" s="99">
        <v>27480.44</v>
      </c>
      <c r="G19" s="100">
        <v>94625.09</v>
      </c>
      <c r="H19" s="150">
        <f t="shared" si="0"/>
        <v>19643.859999999986</v>
      </c>
      <c r="I19" s="101" t="s">
        <v>244</v>
      </c>
    </row>
    <row r="20" spans="1:9" ht="38.25">
      <c r="A20" s="193"/>
      <c r="B20" s="70" t="s">
        <v>203</v>
      </c>
      <c r="C20" s="63" t="s">
        <v>182</v>
      </c>
      <c r="D20" s="156">
        <v>200000</v>
      </c>
      <c r="E20" s="85">
        <v>187478.91</v>
      </c>
      <c r="F20" s="85">
        <v>7328.91</v>
      </c>
      <c r="G20" s="86">
        <v>0</v>
      </c>
      <c r="H20" s="151">
        <f t="shared" si="0"/>
        <v>5192.179999999993</v>
      </c>
      <c r="I20" s="102" t="s">
        <v>238</v>
      </c>
    </row>
    <row r="21" spans="1:9" ht="38.25">
      <c r="A21" s="193"/>
      <c r="B21" s="70" t="s">
        <v>233</v>
      </c>
      <c r="C21" s="63" t="s">
        <v>235</v>
      </c>
      <c r="D21" s="156">
        <v>112252</v>
      </c>
      <c r="E21" s="85">
        <v>0</v>
      </c>
      <c r="F21" s="85">
        <v>70491.9</v>
      </c>
      <c r="G21" s="86">
        <v>41760.4</v>
      </c>
      <c r="H21" s="151">
        <f>D21-SUM(E21:G21)</f>
        <v>-0.29999999998835847</v>
      </c>
      <c r="I21" s="102" t="s">
        <v>236</v>
      </c>
    </row>
    <row r="22" spans="1:9" ht="25.5">
      <c r="A22" s="193"/>
      <c r="B22" s="70" t="s">
        <v>204</v>
      </c>
      <c r="C22" s="63" t="s">
        <v>183</v>
      </c>
      <c r="D22" s="156">
        <f>2560900-5520</f>
        <v>2555380</v>
      </c>
      <c r="E22" s="85">
        <v>130378.94</v>
      </c>
      <c r="F22" s="85">
        <v>2425001.05</v>
      </c>
      <c r="G22" s="86">
        <v>0</v>
      </c>
      <c r="H22" s="151">
        <f>+D22-SUM(E22:G22)</f>
        <v>0.01000000024214387</v>
      </c>
      <c r="I22" s="102" t="s">
        <v>245</v>
      </c>
    </row>
    <row r="23" spans="1:9" ht="25.5">
      <c r="A23" s="193"/>
      <c r="B23" s="70" t="s">
        <v>210</v>
      </c>
      <c r="C23" s="63" t="s">
        <v>192</v>
      </c>
      <c r="D23" s="156">
        <v>250000</v>
      </c>
      <c r="E23" s="85">
        <v>227315.03</v>
      </c>
      <c r="F23" s="85">
        <v>22684.97</v>
      </c>
      <c r="G23" s="86">
        <v>0</v>
      </c>
      <c r="H23" s="151">
        <f>+D23-SUM(E23:G23)</f>
        <v>0</v>
      </c>
      <c r="I23" s="102"/>
    </row>
    <row r="24" spans="1:9" ht="25.5">
      <c r="A24" s="193"/>
      <c r="B24" s="70" t="s">
        <v>212</v>
      </c>
      <c r="C24" s="63" t="s">
        <v>196</v>
      </c>
      <c r="D24" s="156">
        <v>597000</v>
      </c>
      <c r="E24" s="85">
        <f>515242.92+51188</f>
        <v>566430.9199999999</v>
      </c>
      <c r="F24" s="85">
        <v>30521.08</v>
      </c>
      <c r="G24" s="86">
        <v>0</v>
      </c>
      <c r="H24" s="151">
        <f>+D24-SUM(E24:G24)</f>
        <v>48.000000000116415</v>
      </c>
      <c r="I24" s="102"/>
    </row>
    <row r="25" spans="1:10" ht="51.75" thickBot="1">
      <c r="A25" s="194"/>
      <c r="B25" s="107" t="s">
        <v>213</v>
      </c>
      <c r="C25" s="76" t="s">
        <v>197</v>
      </c>
      <c r="D25" s="157">
        <v>4798443</v>
      </c>
      <c r="E25" s="103">
        <v>4224452.25</v>
      </c>
      <c r="F25" s="103">
        <v>573990.75</v>
      </c>
      <c r="G25" s="104">
        <v>0</v>
      </c>
      <c r="H25" s="152">
        <f>+D25-SUM(E25:G25)</f>
        <v>0</v>
      </c>
      <c r="I25" s="105"/>
      <c r="J25" s="109"/>
    </row>
    <row r="26" spans="1:9" ht="51">
      <c r="A26" s="186" t="s">
        <v>176</v>
      </c>
      <c r="B26" s="106" t="s">
        <v>201</v>
      </c>
      <c r="C26" s="73" t="s">
        <v>197</v>
      </c>
      <c r="D26" s="155">
        <f>1041830.92-170004.97</f>
        <v>871825.9500000001</v>
      </c>
      <c r="E26" s="99">
        <v>871826</v>
      </c>
      <c r="F26" s="99"/>
      <c r="G26" s="100"/>
      <c r="H26" s="150">
        <f>+D26-SUM(E26:G26)</f>
        <v>-0.04999999993015081</v>
      </c>
      <c r="I26" s="101"/>
    </row>
    <row r="27" spans="1:9" ht="38.25">
      <c r="A27" s="187"/>
      <c r="B27" s="70" t="s">
        <v>233</v>
      </c>
      <c r="C27" s="63" t="s">
        <v>234</v>
      </c>
      <c r="D27" s="156">
        <v>-96500</v>
      </c>
      <c r="E27" s="85">
        <v>-96500</v>
      </c>
      <c r="F27" s="85"/>
      <c r="H27" s="151"/>
      <c r="I27" s="102"/>
    </row>
    <row r="28" spans="1:9" ht="26.25" thickBot="1">
      <c r="A28" s="188"/>
      <c r="B28" s="107" t="s">
        <v>203</v>
      </c>
      <c r="C28" s="76" t="s">
        <v>180</v>
      </c>
      <c r="D28" s="157">
        <v>80000</v>
      </c>
      <c r="E28" s="103">
        <v>80000</v>
      </c>
      <c r="F28" s="103">
        <v>0</v>
      </c>
      <c r="G28" s="104">
        <v>0</v>
      </c>
      <c r="H28" s="152">
        <f>+D28-SUM(E28:G28)</f>
        <v>0</v>
      </c>
      <c r="I28" s="105"/>
    </row>
    <row r="29" spans="3:9" ht="12.75">
      <c r="C29" s="88"/>
      <c r="D29" s="153">
        <f>SUM(D2:D28)</f>
        <v>19136000</v>
      </c>
      <c r="E29" s="87">
        <f>SUM(E2:E28)</f>
        <v>12762098.72</v>
      </c>
      <c r="F29" s="87">
        <f>SUM(F2:F28)</f>
        <v>4498963.35</v>
      </c>
      <c r="G29" s="87">
        <f>SUM(G2:G28)</f>
        <v>577185.09</v>
      </c>
      <c r="H29" s="153">
        <f>+D29-SUM(E29:G29)</f>
        <v>1297752.8399999999</v>
      </c>
      <c r="I29" s="89"/>
    </row>
    <row r="31" spans="4:8" ht="12.75">
      <c r="D31" s="90"/>
      <c r="E31" s="91">
        <f>+E29/$D$29</f>
        <v>0.6669156939799331</v>
      </c>
      <c r="F31" s="91">
        <f>+F29/$D$29</f>
        <v>0.23510469011287624</v>
      </c>
      <c r="G31" s="91">
        <f>+G29/$D$29</f>
        <v>0.030162264318561872</v>
      </c>
      <c r="H31" s="91">
        <f>+H29/$D$29</f>
        <v>0.06781735158862875</v>
      </c>
    </row>
    <row r="32" spans="4:5" ht="12.75">
      <c r="D32" s="90"/>
      <c r="E32" s="92"/>
    </row>
    <row r="33" spans="1:9" s="90" customFormat="1" ht="12.75">
      <c r="A33" s="98"/>
      <c r="B33" s="108"/>
      <c r="D33" s="68"/>
      <c r="G33" s="93"/>
      <c r="H33" s="93"/>
      <c r="I33" s="94"/>
    </row>
    <row r="34" spans="1:9" s="90" customFormat="1" ht="12.75">
      <c r="A34" s="98"/>
      <c r="B34" s="108"/>
      <c r="H34" s="93"/>
      <c r="I34" s="94"/>
    </row>
    <row r="35" spans="1:9" s="90" customFormat="1" ht="12.75">
      <c r="A35" s="98"/>
      <c r="B35" s="108"/>
      <c r="H35" s="93"/>
      <c r="I35" s="94"/>
    </row>
    <row r="36" spans="1:9" s="90" customFormat="1" ht="12.75">
      <c r="A36" s="98"/>
      <c r="B36" s="108"/>
      <c r="G36" s="93"/>
      <c r="H36" s="93"/>
      <c r="I36" s="94"/>
    </row>
    <row r="37" spans="4:8" ht="12.75">
      <c r="D37" s="95"/>
      <c r="E37" s="90"/>
      <c r="F37" s="90"/>
      <c r="G37" s="90"/>
      <c r="H37" s="68"/>
    </row>
    <row r="38" ht="12.75">
      <c r="E38" s="92"/>
    </row>
    <row r="39" ht="12.75">
      <c r="E39" s="92"/>
    </row>
    <row r="40" ht="12.75">
      <c r="E40" s="92"/>
    </row>
    <row r="41" ht="12.75">
      <c r="E41" s="109"/>
    </row>
  </sheetData>
  <autoFilter ref="A1:I29"/>
  <mergeCells count="3">
    <mergeCell ref="A26:A28"/>
    <mergeCell ref="A2:A18"/>
    <mergeCell ref="A19:A25"/>
  </mergeCells>
  <printOptions gridLines="1" horizontalCentered="1"/>
  <pageMargins left="0.25" right="0.25" top="1" bottom="0.75" header="0.5" footer="0.5"/>
  <pageSetup fitToHeight="3" fitToWidth="1" horizontalDpi="600" verticalDpi="600" orientation="landscape" scale="98" r:id="rId1"/>
  <headerFooter alignWithMargins="0">
    <oddHeader>&amp;C&amp;"Trebuchet MS,Regular"&amp;F
&amp;A</oddHeader>
    <oddFooter>&amp;CPage &amp;P of &amp;N</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G2"/>
  <sheetViews>
    <sheetView workbookViewId="0" topLeftCell="A1">
      <selection activeCell="E1" sqref="E1:K1"/>
    </sheetView>
  </sheetViews>
  <sheetFormatPr defaultColWidth="9.140625" defaultRowHeight="12.75"/>
  <cols>
    <col min="1" max="1" width="8.7109375" style="1" bestFit="1" customWidth="1"/>
    <col min="2" max="2" width="46.57421875" style="1" customWidth="1"/>
    <col min="3" max="4" width="11.8515625" style="34" bestFit="1" customWidth="1"/>
    <col min="5" max="5" width="11.140625" style="34" bestFit="1" customWidth="1"/>
    <col min="6" max="6" width="15.140625" style="1" bestFit="1" customWidth="1"/>
    <col min="7" max="7" width="10.57421875" style="1" bestFit="1" customWidth="1"/>
    <col min="8" max="16384" width="9.140625" style="1" customWidth="1"/>
  </cols>
  <sheetData>
    <row r="1" spans="1:7" ht="26.25" thickBot="1">
      <c r="A1" s="25" t="s">
        <v>74</v>
      </c>
      <c r="B1" s="26" t="s">
        <v>20</v>
      </c>
      <c r="C1" s="27" t="s">
        <v>21</v>
      </c>
      <c r="D1" s="32" t="s">
        <v>22</v>
      </c>
      <c r="E1" s="32" t="s">
        <v>23</v>
      </c>
      <c r="F1" s="33" t="s">
        <v>24</v>
      </c>
      <c r="G1" s="31" t="s">
        <v>25</v>
      </c>
    </row>
    <row r="2" spans="1:7" ht="81">
      <c r="A2" s="35" t="s">
        <v>75</v>
      </c>
      <c r="B2" s="28" t="s">
        <v>76</v>
      </c>
      <c r="C2" s="29">
        <v>976000</v>
      </c>
      <c r="D2" s="30">
        <f>626271.38+28165.44</f>
        <v>654436.82</v>
      </c>
      <c r="E2" s="30">
        <v>272835.12</v>
      </c>
      <c r="F2" s="36">
        <v>16653</v>
      </c>
      <c r="G2" s="37">
        <f>+C2-SUM(D2:F2)</f>
        <v>32075.060000000056</v>
      </c>
    </row>
  </sheetData>
  <printOptions gridLines="1" horizontalCentered="1"/>
  <pageMargins left="0.75" right="0.75" top="1" bottom="1" header="0.5" footer="0.5"/>
  <pageSetup fitToHeight="1" fitToWidth="1" horizontalDpi="600" verticalDpi="600" orientation="landscape" r:id="rId1"/>
  <headerFooter alignWithMargins="0">
    <oddHeader>&amp;C&amp;F
&amp;A</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K17"/>
  <sheetViews>
    <sheetView workbookViewId="0" topLeftCell="A10">
      <selection activeCell="E1" sqref="E1:K1"/>
    </sheetView>
  </sheetViews>
  <sheetFormatPr defaultColWidth="9.140625" defaultRowHeight="12.75"/>
  <cols>
    <col min="1" max="1" width="3.8515625" style="110" customWidth="1"/>
    <col min="2" max="2" width="11.8515625" style="110" customWidth="1"/>
    <col min="3" max="3" width="7.28125" style="110" bestFit="1" customWidth="1"/>
    <col min="4" max="4" width="30.140625" style="110" customWidth="1"/>
    <col min="5" max="5" width="43.28125" style="110" hidden="1" customWidth="1"/>
    <col min="6" max="6" width="17.00390625" style="118" bestFit="1" customWidth="1"/>
    <col min="7" max="7" width="13.140625" style="118" bestFit="1" customWidth="1"/>
    <col min="8" max="8" width="14.28125" style="118" bestFit="1" customWidth="1"/>
    <col min="9" max="9" width="13.7109375" style="119" bestFit="1" customWidth="1"/>
    <col min="10" max="10" width="15.57421875" style="119" bestFit="1" customWidth="1"/>
    <col min="11" max="11" width="20.421875" style="119" customWidth="1"/>
    <col min="12" max="16384" width="9.140625" style="110" customWidth="1"/>
  </cols>
  <sheetData>
    <row r="1" spans="2:11" ht="26.25" thickBot="1">
      <c r="B1" s="111" t="s">
        <v>77</v>
      </c>
      <c r="C1" s="111" t="s">
        <v>46</v>
      </c>
      <c r="D1" s="111" t="s">
        <v>78</v>
      </c>
      <c r="E1" s="111" t="s">
        <v>79</v>
      </c>
      <c r="F1" s="112" t="s">
        <v>80</v>
      </c>
      <c r="G1" s="113" t="s">
        <v>22</v>
      </c>
      <c r="H1" s="114" t="s">
        <v>23</v>
      </c>
      <c r="I1" s="114" t="s">
        <v>24</v>
      </c>
      <c r="J1" s="114" t="s">
        <v>143</v>
      </c>
      <c r="K1" s="114" t="s">
        <v>140</v>
      </c>
    </row>
    <row r="2" spans="1:10" ht="25.5">
      <c r="A2" s="195" t="s">
        <v>218</v>
      </c>
      <c r="B2" s="115" t="s">
        <v>81</v>
      </c>
      <c r="C2" s="115" t="s">
        <v>82</v>
      </c>
      <c r="D2" s="116" t="s">
        <v>83</v>
      </c>
      <c r="E2" s="45" t="s">
        <v>84</v>
      </c>
      <c r="F2" s="117">
        <v>154588</v>
      </c>
      <c r="G2" s="118">
        <v>0</v>
      </c>
      <c r="H2" s="117">
        <v>0</v>
      </c>
      <c r="I2" s="119">
        <v>28008.5</v>
      </c>
      <c r="J2" s="119">
        <f>F2-G2-H2-I2</f>
        <v>126579.5</v>
      </c>
    </row>
    <row r="3" spans="1:10" ht="12.75">
      <c r="A3" s="195"/>
      <c r="B3" s="115" t="s">
        <v>85</v>
      </c>
      <c r="C3" s="115" t="s">
        <v>86</v>
      </c>
      <c r="D3" s="116" t="s">
        <v>87</v>
      </c>
      <c r="E3" s="116" t="s">
        <v>84</v>
      </c>
      <c r="F3" s="117">
        <v>1503840</v>
      </c>
      <c r="G3" s="120">
        <v>1385574.34</v>
      </c>
      <c r="H3" s="117">
        <v>0</v>
      </c>
      <c r="I3" s="119">
        <v>0</v>
      </c>
      <c r="J3" s="119">
        <f>F3-G3-H3-I3</f>
        <v>118265.65999999992</v>
      </c>
    </row>
    <row r="4" spans="1:11" ht="25.5">
      <c r="A4" s="195"/>
      <c r="B4" s="115" t="s">
        <v>88</v>
      </c>
      <c r="C4" s="115" t="s">
        <v>86</v>
      </c>
      <c r="D4" s="116" t="s">
        <v>89</v>
      </c>
      <c r="E4" s="116" t="s">
        <v>90</v>
      </c>
      <c r="F4" s="117">
        <f>201000+965000+552533</f>
        <v>1718533</v>
      </c>
      <c r="G4" s="120">
        <f>111161.59+50704.42</f>
        <v>161866.01</v>
      </c>
      <c r="H4" s="117">
        <v>377155.91</v>
      </c>
      <c r="I4" s="119">
        <v>730086</v>
      </c>
      <c r="J4" s="119">
        <f aca="true" t="shared" si="0" ref="J4:J16">F4-G4-H4-I4</f>
        <v>449425.0800000001</v>
      </c>
      <c r="K4" s="121"/>
    </row>
    <row r="5" spans="1:10" ht="25.5">
      <c r="A5" s="195"/>
      <c r="B5" s="115" t="s">
        <v>91</v>
      </c>
      <c r="C5" s="115" t="s">
        <v>92</v>
      </c>
      <c r="D5" s="116" t="s">
        <v>93</v>
      </c>
      <c r="E5" s="45" t="s">
        <v>84</v>
      </c>
      <c r="F5" s="117">
        <f>1500000+244000+100000</f>
        <v>1844000</v>
      </c>
      <c r="G5" s="120">
        <v>0</v>
      </c>
      <c r="H5" s="117">
        <v>267321.11</v>
      </c>
      <c r="I5" s="119">
        <v>257682.5</v>
      </c>
      <c r="J5" s="119">
        <f t="shared" si="0"/>
        <v>1318996.3900000001</v>
      </c>
    </row>
    <row r="6" spans="1:10" ht="12.75">
      <c r="A6" s="195"/>
      <c r="B6" s="115" t="s">
        <v>94</v>
      </c>
      <c r="C6" s="115" t="s">
        <v>92</v>
      </c>
      <c r="D6" s="116" t="s">
        <v>95</v>
      </c>
      <c r="E6" s="116" t="s">
        <v>84</v>
      </c>
      <c r="F6" s="117">
        <v>3339656</v>
      </c>
      <c r="G6" s="120">
        <v>0</v>
      </c>
      <c r="H6" s="117">
        <v>177195</v>
      </c>
      <c r="I6" s="119">
        <v>794798.4</v>
      </c>
      <c r="J6" s="119">
        <f t="shared" si="0"/>
        <v>2367662.6</v>
      </c>
    </row>
    <row r="7" spans="1:10" ht="25.5">
      <c r="A7" s="195"/>
      <c r="B7" s="115" t="s">
        <v>96</v>
      </c>
      <c r="C7" s="115" t="s">
        <v>97</v>
      </c>
      <c r="D7" s="116" t="s">
        <v>98</v>
      </c>
      <c r="E7" s="116" t="s">
        <v>99</v>
      </c>
      <c r="F7" s="117">
        <v>37000</v>
      </c>
      <c r="G7" s="120">
        <v>0</v>
      </c>
      <c r="H7" s="117">
        <v>0</v>
      </c>
      <c r="I7" s="119">
        <v>0</v>
      </c>
      <c r="J7" s="119">
        <f t="shared" si="0"/>
        <v>37000</v>
      </c>
    </row>
    <row r="8" spans="1:10" ht="25.5">
      <c r="A8" s="195"/>
      <c r="B8" s="115" t="s">
        <v>100</v>
      </c>
      <c r="C8" s="115" t="s">
        <v>101</v>
      </c>
      <c r="D8" s="116" t="s">
        <v>102</v>
      </c>
      <c r="E8" s="116" t="s">
        <v>103</v>
      </c>
      <c r="F8" s="117">
        <v>492000</v>
      </c>
      <c r="G8" s="120">
        <v>0</v>
      </c>
      <c r="H8" s="117">
        <v>0</v>
      </c>
      <c r="I8" s="119">
        <v>0</v>
      </c>
      <c r="J8" s="119">
        <f t="shared" si="0"/>
        <v>492000</v>
      </c>
    </row>
    <row r="9" spans="1:10" ht="51">
      <c r="A9" s="195"/>
      <c r="B9" s="115" t="s">
        <v>104</v>
      </c>
      <c r="C9" s="115" t="s">
        <v>105</v>
      </c>
      <c r="D9" s="116" t="s">
        <v>106</v>
      </c>
      <c r="E9" s="45" t="s">
        <v>107</v>
      </c>
      <c r="F9" s="117">
        <v>800000</v>
      </c>
      <c r="G9" s="120">
        <v>0</v>
      </c>
      <c r="H9" s="117">
        <v>0</v>
      </c>
      <c r="I9" s="119">
        <v>715300</v>
      </c>
      <c r="J9" s="119">
        <f t="shared" si="0"/>
        <v>84700</v>
      </c>
    </row>
    <row r="10" spans="1:10" ht="38.25">
      <c r="A10" s="195"/>
      <c r="B10" s="115" t="s">
        <v>108</v>
      </c>
      <c r="C10" s="115" t="s">
        <v>109</v>
      </c>
      <c r="D10" s="116" t="s">
        <v>110</v>
      </c>
      <c r="E10" s="45" t="s">
        <v>111</v>
      </c>
      <c r="F10" s="117">
        <v>296610</v>
      </c>
      <c r="G10" s="120">
        <v>0</v>
      </c>
      <c r="H10" s="117">
        <v>0</v>
      </c>
      <c r="I10" s="119">
        <v>0</v>
      </c>
      <c r="J10" s="119">
        <f t="shared" si="0"/>
        <v>296610</v>
      </c>
    </row>
    <row r="11" spans="1:10" ht="51">
      <c r="A11" s="195"/>
      <c r="B11" s="115" t="s">
        <v>112</v>
      </c>
      <c r="C11" s="115" t="s">
        <v>113</v>
      </c>
      <c r="D11" s="116" t="s">
        <v>114</v>
      </c>
      <c r="E11" s="45" t="s">
        <v>115</v>
      </c>
      <c r="F11" s="117">
        <v>2000000</v>
      </c>
      <c r="G11" s="120">
        <v>0</v>
      </c>
      <c r="H11" s="117">
        <v>324051.4</v>
      </c>
      <c r="I11" s="119">
        <v>694706</v>
      </c>
      <c r="J11" s="119">
        <f t="shared" si="0"/>
        <v>981242.6000000001</v>
      </c>
    </row>
    <row r="12" spans="1:11" ht="38.25">
      <c r="A12" s="195"/>
      <c r="B12" s="115" t="s">
        <v>116</v>
      </c>
      <c r="C12" s="115" t="s">
        <v>117</v>
      </c>
      <c r="D12" s="116" t="s">
        <v>118</v>
      </c>
      <c r="E12" s="45" t="s">
        <v>119</v>
      </c>
      <c r="F12" s="122">
        <v>200000</v>
      </c>
      <c r="G12" s="120">
        <v>0</v>
      </c>
      <c r="H12" s="117">
        <v>0</v>
      </c>
      <c r="I12" s="119">
        <v>0</v>
      </c>
      <c r="J12" s="119">
        <f t="shared" si="0"/>
        <v>200000</v>
      </c>
      <c r="K12" s="121" t="s">
        <v>217</v>
      </c>
    </row>
    <row r="13" spans="1:10" ht="38.25">
      <c r="A13" s="195"/>
      <c r="B13" s="115" t="s">
        <v>120</v>
      </c>
      <c r="C13" s="115" t="s">
        <v>121</v>
      </c>
      <c r="D13" s="116" t="s">
        <v>122</v>
      </c>
      <c r="E13" s="45" t="s">
        <v>123</v>
      </c>
      <c r="F13" s="117">
        <v>376696.54</v>
      </c>
      <c r="G13" s="120">
        <f>6059.3+2484</f>
        <v>8543.3</v>
      </c>
      <c r="H13" s="117">
        <v>233352.27</v>
      </c>
      <c r="I13" s="119">
        <v>32025</v>
      </c>
      <c r="J13" s="119">
        <f t="shared" si="0"/>
        <v>102775.97</v>
      </c>
    </row>
    <row r="14" spans="1:11" ht="25.5">
      <c r="A14" s="195"/>
      <c r="B14" s="115" t="s">
        <v>139</v>
      </c>
      <c r="C14" s="115" t="s">
        <v>121</v>
      </c>
      <c r="D14" s="116" t="s">
        <v>124</v>
      </c>
      <c r="E14" s="45" t="s">
        <v>125</v>
      </c>
      <c r="F14" s="117">
        <v>654094.87</v>
      </c>
      <c r="G14" s="120">
        <v>0</v>
      </c>
      <c r="H14" s="117">
        <v>15681.75</v>
      </c>
      <c r="I14" s="119">
        <v>144892.9</v>
      </c>
      <c r="J14" s="119">
        <f t="shared" si="0"/>
        <v>493520.22</v>
      </c>
      <c r="K14" s="47"/>
    </row>
    <row r="15" spans="1:10" ht="25.5">
      <c r="A15" s="195"/>
      <c r="B15" s="115" t="s">
        <v>126</v>
      </c>
      <c r="C15" s="115" t="s">
        <v>127</v>
      </c>
      <c r="D15" s="116" t="s">
        <v>128</v>
      </c>
      <c r="E15" s="116" t="s">
        <v>129</v>
      </c>
      <c r="F15" s="122">
        <v>451600</v>
      </c>
      <c r="G15" s="120">
        <v>0</v>
      </c>
      <c r="H15" s="117">
        <v>0</v>
      </c>
      <c r="I15" s="119">
        <v>0</v>
      </c>
      <c r="J15" s="119">
        <f t="shared" si="0"/>
        <v>451600</v>
      </c>
    </row>
    <row r="16" spans="1:11" ht="26.25" thickBot="1">
      <c r="A16" s="195"/>
      <c r="C16" s="123" t="s">
        <v>127</v>
      </c>
      <c r="D16" s="124" t="s">
        <v>130</v>
      </c>
      <c r="E16" s="125" t="s">
        <v>131</v>
      </c>
      <c r="F16" s="126">
        <f>9184053*0.03</f>
        <v>275521.58999999997</v>
      </c>
      <c r="G16" s="127">
        <v>0</v>
      </c>
      <c r="H16" s="126">
        <v>0</v>
      </c>
      <c r="I16" s="127">
        <v>0</v>
      </c>
      <c r="J16" s="127">
        <f t="shared" si="0"/>
        <v>275521.58999999997</v>
      </c>
      <c r="K16" s="127"/>
    </row>
    <row r="17" spans="5:11" ht="12.75">
      <c r="E17" s="128" t="s">
        <v>132</v>
      </c>
      <c r="F17" s="129">
        <f>SUM(F2:F16)</f>
        <v>14144139.999999998</v>
      </c>
      <c r="G17" s="129">
        <f>SUM(G2:G16)</f>
        <v>1555983.6500000001</v>
      </c>
      <c r="H17" s="129">
        <f>SUM(H2:H16)</f>
        <v>1394757.44</v>
      </c>
      <c r="I17" s="129">
        <f>SUM(I2:I16)</f>
        <v>3397499.3</v>
      </c>
      <c r="J17" s="129">
        <f>SUM(J2:J16)</f>
        <v>7795899.609999999</v>
      </c>
      <c r="K17" s="130"/>
    </row>
  </sheetData>
  <mergeCells count="1">
    <mergeCell ref="A2:A16"/>
  </mergeCells>
  <printOptions gridLines="1" horizontalCentered="1"/>
  <pageMargins left="0.25" right="0.25" top="1" bottom="0.51" header="0.5" footer="0.32"/>
  <pageSetup fitToHeight="2" fitToWidth="1" horizontalDpi="600" verticalDpi="600" orientation="landscape" scale="92" r:id="rId1"/>
  <headerFooter alignWithMargins="0">
    <oddHeader>&amp;C&amp;"Trebuchet MS,Regular"&amp;12&amp;F
&amp;A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cgrier</cp:lastModifiedBy>
  <cp:lastPrinted>2006-02-14T17:20:36Z</cp:lastPrinted>
  <dcterms:created xsi:type="dcterms:W3CDTF">2005-08-01T17:23:23Z</dcterms:created>
  <dcterms:modified xsi:type="dcterms:W3CDTF">2006-03-28T14:20:18Z</dcterms:modified>
  <cp:category/>
  <cp:version/>
  <cp:contentType/>
  <cp:contentStatus/>
</cp:coreProperties>
</file>