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5.xml" ContentType="application/vnd.openxmlformats-officedocument.spreadsheetml.comments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9045" tabRatio="936" activeTab="0"/>
  </bookViews>
  <sheets>
    <sheet name="Grant Spending Overview" sheetId="1" r:id="rId1"/>
    <sheet name="03 UASI I Trend" sheetId="2" r:id="rId2"/>
    <sheet name="03 UASI I" sheetId="3" r:id="rId3"/>
    <sheet name="03 UASI II Trend" sheetId="4" r:id="rId4"/>
    <sheet name="03 UASI II" sheetId="5" r:id="rId5"/>
    <sheet name="04 UASI Trend" sheetId="6" r:id="rId6"/>
    <sheet name="04 UASI" sheetId="7" r:id="rId7"/>
    <sheet name="05 UASI Trend" sheetId="8" r:id="rId8"/>
    <sheet name="05 UASI" sheetId="9" r:id="rId9"/>
    <sheet name="05 UASI - NonProfitAllocation" sheetId="10" r:id="rId10"/>
    <sheet name="05 MassTransit" sheetId="11" r:id="rId11"/>
  </sheets>
  <externalReferences>
    <externalReference r:id="rId14"/>
  </externalReferences>
  <definedNames>
    <definedName name="_xlnm._FilterDatabase" localSheetId="2" hidden="1">'03 UASI I'!$B$1:$I$20</definedName>
    <definedName name="_xlnm._FilterDatabase" localSheetId="4" hidden="1">'03 UASI II'!$B$1:$H$26</definedName>
    <definedName name="_xlnm._FilterDatabase" localSheetId="10" hidden="1">'05 MassTransit'!$A$1:$H$7</definedName>
    <definedName name="_xlnm._FilterDatabase" localSheetId="8" hidden="1">'05 UASI'!$B$1:$I$71</definedName>
    <definedName name="_xlnm._FilterDatabase" localSheetId="9" hidden="1">'05 UASI - NonProfitAllocation'!$A$1:$H$37</definedName>
    <definedName name="_xlnm.Print_Area" localSheetId="2">'03 UASI I'!$A$1:$J$20</definedName>
    <definedName name="_xlnm.Print_Area" localSheetId="4">'03 UASI II'!$A$1:$I$26</definedName>
    <definedName name="_xlnm.Print_Area" localSheetId="6">'04 UASI'!$A$1:$J$46</definedName>
    <definedName name="_xlnm.Print_Area" localSheetId="10">'05 MassTransit'!$A$1:$J$7</definedName>
    <definedName name="_xlnm.Print_Area" localSheetId="8">'05 UASI'!$A$1:$J$71</definedName>
    <definedName name="_xlnm.Print_Area" localSheetId="9">'05 UASI - NonProfitAllocation'!$C$1:$H$37</definedName>
    <definedName name="_xlnm.Print_Titles" localSheetId="2">'03 UASI I'!$1:$2</definedName>
    <definedName name="_xlnm.Print_Titles" localSheetId="4">'03 UASI II'!$1:$2</definedName>
    <definedName name="_xlnm.Print_Titles" localSheetId="6">'04 UASI'!$1:$2</definedName>
    <definedName name="_xlnm.Print_Titles" localSheetId="10">'05 MassTransit'!$1:$2</definedName>
    <definedName name="_xlnm.Print_Titles" localSheetId="8">'05 UASI'!$1:$2</definedName>
    <definedName name="_xlnm.Print_Titles" localSheetId="9">'05 UASI - NonProfitAllocation'!$1:$2</definedName>
  </definedNames>
  <calcPr fullCalcOnLoad="1"/>
</workbook>
</file>

<file path=xl/comments1.xml><?xml version="1.0" encoding="utf-8"?>
<comments xmlns="http://schemas.openxmlformats.org/spreadsheetml/2006/main">
  <authors>
    <author>TurnerL</author>
  </authors>
  <commentList>
    <comment ref="B3" authorId="0">
      <text>
        <r>
          <rPr>
            <b/>
            <sz val="8"/>
            <rFont val="Tahoma"/>
            <family val="0"/>
          </rPr>
          <t>TurnerL:</t>
        </r>
        <r>
          <rPr>
            <sz val="8"/>
            <rFont val="Tahoma"/>
            <family val="0"/>
          </rPr>
          <t xml:space="preserve">
7/28/2003 w/ special conditions $0 avail;  12/30/03 ~$18.1M avail</t>
        </r>
      </text>
    </comment>
    <comment ref="B4" authorId="0">
      <text>
        <r>
          <rPr>
            <b/>
            <sz val="8"/>
            <rFont val="Tahoma"/>
            <family val="0"/>
          </rPr>
          <t>TurnerL:</t>
        </r>
        <r>
          <rPr>
            <sz val="8"/>
            <rFont val="Tahoma"/>
            <family val="0"/>
          </rPr>
          <t xml:space="preserve">
8/1/03 w/special conditions $0 avail; 12/30/03 ~$42M avail</t>
        </r>
      </text>
    </comment>
  </commentList>
</comments>
</file>

<file path=xl/comments5.xml><?xml version="1.0" encoding="utf-8"?>
<comments xmlns="http://schemas.openxmlformats.org/spreadsheetml/2006/main">
  <authors>
    <author>TurnerL</author>
  </authors>
  <commentList>
    <comment ref="G24" authorId="0">
      <text>
        <r>
          <rPr>
            <b/>
            <sz val="8"/>
            <rFont val="Tahoma"/>
            <family val="0"/>
          </rPr>
          <t xml:space="preserve">TurnerL:
</t>
        </r>
        <r>
          <rPr>
            <sz val="8"/>
            <rFont val="Tahoma"/>
            <family val="2"/>
          </rPr>
          <t>What happened to this PO?</t>
        </r>
      </text>
    </comment>
  </commentList>
</comments>
</file>

<file path=xl/comments9.xml><?xml version="1.0" encoding="utf-8"?>
<comments xmlns="http://schemas.openxmlformats.org/spreadsheetml/2006/main">
  <authors>
    <author>TurnerL</author>
  </authors>
  <commentList>
    <comment ref="C8" authorId="0">
      <text>
        <r>
          <rPr>
            <b/>
            <sz val="8"/>
            <rFont val="Tahoma"/>
            <family val="0"/>
          </rPr>
          <t>TurnerL:</t>
        </r>
        <r>
          <rPr>
            <sz val="8"/>
            <rFont val="Tahoma"/>
            <family val="0"/>
          </rPr>
          <t xml:space="preserve">
University of Maryland Center for Advanced Transportation Technology (CATT)</t>
        </r>
      </text>
    </comment>
  </commentList>
</comments>
</file>

<file path=xl/sharedStrings.xml><?xml version="1.0" encoding="utf-8"?>
<sst xmlns="http://schemas.openxmlformats.org/spreadsheetml/2006/main" count="830" uniqueCount="519">
  <si>
    <t>Contractual support for Intel Centers</t>
  </si>
  <si>
    <t xml:space="preserve">NCR-Local Law Enforcement Information Sharing System (NCR-LLEISS)  </t>
  </si>
  <si>
    <t>Online Virtual Joint Info Center</t>
  </si>
  <si>
    <t>COG Secretariat Support</t>
  </si>
  <si>
    <t>Emergency Management Accreditation Program (EMAP) Project (carryover from 04)</t>
  </si>
  <si>
    <t xml:space="preserve">Hospital Surge Capacity </t>
  </si>
  <si>
    <t>Earmark for Public Health Community</t>
  </si>
  <si>
    <t>Dispensing Site Equipment and Supplies</t>
  </si>
  <si>
    <t>NCR First Responder Passport Initiative (Credentialing Project)</t>
  </si>
  <si>
    <t xml:space="preserve">Set-aside for operational cost reimbursement  </t>
  </si>
  <si>
    <t xml:space="preserve">NoVA Emergency Messaging Network (Emnet) </t>
  </si>
  <si>
    <t xml:space="preserve">Regional Expansion of the MMRS in NOVA </t>
  </si>
  <si>
    <t>800MHz transition for Prince George's County</t>
  </si>
  <si>
    <t>First Responder Protection</t>
  </si>
  <si>
    <t>Software Integration</t>
  </si>
  <si>
    <t>Fiber optic link between DC NET and WMATA</t>
  </si>
  <si>
    <t xml:space="preserve">WASA employee training </t>
  </si>
  <si>
    <t xml:space="preserve">WASA pumping station monitoring </t>
  </si>
  <si>
    <t xml:space="preserve">Emergency Power Back-Up for Traffic Signal Systems </t>
  </si>
  <si>
    <t>Total 05 UASI</t>
  </si>
  <si>
    <t>Working Definition:  An obligation/pass through means:  1) a definite commitment which creates a legal liability for the payment of funds for goods and services ordered or received; 2) a commitment during the grant period to pay under a grant, subgrant, and/or contract determinable sums for services or goods ordered or received during the grant period; 3) evidence that funds are encumbered, such as a purchase order or requisition, to cover the cost of purchasing an authorized item during the grant period.  These numbers reflect SAA obligations, not recipient obligations.</t>
  </si>
  <si>
    <t>03 UASI II</t>
  </si>
  <si>
    <t>03.2.0.AD</t>
  </si>
  <si>
    <t>03.2.3.a.EQ</t>
  </si>
  <si>
    <t>03.2.3.a.1.EQ</t>
  </si>
  <si>
    <t>03.2.3.b.EQ</t>
  </si>
  <si>
    <t>Direct Purchase</t>
  </si>
  <si>
    <t>03.2.3.b.1.EQ</t>
  </si>
  <si>
    <t>03.2.4.PL</t>
  </si>
  <si>
    <t>JHU/APL</t>
  </si>
  <si>
    <t>03.2.6.PL</t>
  </si>
  <si>
    <t>03.2.8.EQ</t>
  </si>
  <si>
    <t>03.2.8.a.EQ</t>
  </si>
  <si>
    <t>Montgomery County MD</t>
  </si>
  <si>
    <t>03.2.8.b.EQ</t>
  </si>
  <si>
    <t>03.2.9.EQ</t>
  </si>
  <si>
    <t>03.2.10.EQ</t>
  </si>
  <si>
    <t>03.2.13.OC</t>
  </si>
  <si>
    <t>NCR Jurisdictions</t>
  </si>
  <si>
    <t>04 UASI</t>
  </si>
  <si>
    <t>03.2.7[R].PL</t>
  </si>
  <si>
    <t>03.2.11[R].TR</t>
  </si>
  <si>
    <t>04.1.0.AD</t>
  </si>
  <si>
    <t>04.1.1.PL</t>
  </si>
  <si>
    <t>Disability Preparedness Center</t>
  </si>
  <si>
    <t>04.1.2.PL</t>
  </si>
  <si>
    <t>PGCHD</t>
  </si>
  <si>
    <t>04.1.3.EQ</t>
  </si>
  <si>
    <t>04.1.3.a.EQ</t>
  </si>
  <si>
    <t>04.1.7.PL</t>
  </si>
  <si>
    <t>COG Police Chiefs Committee</t>
  </si>
  <si>
    <t>04.1.8.EQ</t>
  </si>
  <si>
    <t>04.1.9.PL</t>
  </si>
  <si>
    <t>04.1.10.TR</t>
  </si>
  <si>
    <t>WMATA</t>
  </si>
  <si>
    <t>04.1.11.OH</t>
  </si>
  <si>
    <t>04.1.12.a</t>
  </si>
  <si>
    <t>DC OCTO</t>
  </si>
  <si>
    <t>04.1.12.b</t>
  </si>
  <si>
    <t>CSG/EMAP</t>
  </si>
  <si>
    <t>04.1.12.c</t>
  </si>
  <si>
    <t>Total FY04 UASI</t>
  </si>
  <si>
    <t>Grant</t>
  </si>
  <si>
    <t>Period of Performance</t>
  </si>
  <si>
    <t>05 Transit Security Grant Program</t>
  </si>
  <si>
    <t>03.2.0.VDEM1</t>
  </si>
  <si>
    <t>03.2.0.VDEM2</t>
  </si>
  <si>
    <t>03.2.0.VDEM3</t>
  </si>
  <si>
    <t xml:space="preserve">NVHA </t>
  </si>
  <si>
    <t>Grant Award</t>
  </si>
  <si>
    <t>03 Urban Areas Security Initiative I</t>
  </si>
  <si>
    <t>03 Urban Areas Security Initiative II</t>
  </si>
  <si>
    <t>04 Urban Areas Security Initiative</t>
  </si>
  <si>
    <t>05 Homeland Security Grant Program</t>
  </si>
  <si>
    <t>10/1/04 - 3/31/07</t>
  </si>
  <si>
    <t>05 DC/NCR Homeland Security Grant Programs:</t>
  </si>
  <si>
    <t>Effective Award Date</t>
  </si>
  <si>
    <t>Project Award</t>
  </si>
  <si>
    <t>03.1.8.b.PL</t>
  </si>
  <si>
    <t>03.1.8.a.PL</t>
  </si>
  <si>
    <t>Northern VA Criminal Justice Academy</t>
  </si>
  <si>
    <t>DDOT</t>
  </si>
  <si>
    <t>OCTO</t>
  </si>
  <si>
    <t>Subgrant No.</t>
  </si>
  <si>
    <t>05 HSGP - UASI</t>
  </si>
  <si>
    <t>1AUAS5</t>
  </si>
  <si>
    <t>1BUAS5</t>
  </si>
  <si>
    <t>2AUAS5-A</t>
  </si>
  <si>
    <t>3AUAS5</t>
  </si>
  <si>
    <t>3BUAS5</t>
  </si>
  <si>
    <t>3DUAS5</t>
  </si>
  <si>
    <t>4AUAS5</t>
  </si>
  <si>
    <t>FFX County Fire and Rescue</t>
  </si>
  <si>
    <t>4BUAS5</t>
  </si>
  <si>
    <t>DC FEMS</t>
  </si>
  <si>
    <t>4C1UAS5</t>
  </si>
  <si>
    <t>4C2UAS5</t>
  </si>
  <si>
    <t>Mont. County Fire and Rescue</t>
  </si>
  <si>
    <t>4DUAS5</t>
  </si>
  <si>
    <t>4E1UAS5</t>
  </si>
  <si>
    <t>City of Alexandria</t>
  </si>
  <si>
    <t>4E2UAS5</t>
  </si>
  <si>
    <t>5AUAS5</t>
  </si>
  <si>
    <t>Prince George's County</t>
  </si>
  <si>
    <t>5CUAS5</t>
  </si>
  <si>
    <t>Various NCR Jurisdictions (TBD)</t>
  </si>
  <si>
    <t>5CUAS5-DCEMA</t>
  </si>
  <si>
    <t>DCEMA</t>
  </si>
  <si>
    <t>5D1UAS5</t>
  </si>
  <si>
    <t>5D2UAS5</t>
  </si>
  <si>
    <t>MEMA</t>
  </si>
  <si>
    <t>5D3UAS5</t>
  </si>
  <si>
    <t>VDEM</t>
  </si>
  <si>
    <t>6AUAS5</t>
  </si>
  <si>
    <t>ARC</t>
  </si>
  <si>
    <t>6BUAS5</t>
  </si>
  <si>
    <t>NPRT</t>
  </si>
  <si>
    <t>7AUAS5</t>
  </si>
  <si>
    <t>8AUAS5</t>
  </si>
  <si>
    <t>8BUAS5</t>
  </si>
  <si>
    <t>Prince George's County Health Department</t>
  </si>
  <si>
    <t>8CUAS5</t>
  </si>
  <si>
    <t>FFX County Health</t>
  </si>
  <si>
    <t>8DUAS5</t>
  </si>
  <si>
    <t>Montgomery County</t>
  </si>
  <si>
    <t>13AUAS5</t>
  </si>
  <si>
    <t>FFX County PD</t>
  </si>
  <si>
    <t>13BUAS5</t>
  </si>
  <si>
    <t>13C1UAS5</t>
  </si>
  <si>
    <t>13C2UAS5</t>
  </si>
  <si>
    <t>13C3UAS5</t>
  </si>
  <si>
    <t>DC MPD</t>
  </si>
  <si>
    <t>13DUAS5</t>
  </si>
  <si>
    <t>14AUAS5</t>
  </si>
  <si>
    <t>14CUAS5</t>
  </si>
  <si>
    <t>X1UAS5</t>
  </si>
  <si>
    <t>X2UAS5</t>
  </si>
  <si>
    <t>X3aUAS5</t>
  </si>
  <si>
    <t>DCHA</t>
  </si>
  <si>
    <t>X3bUAS5</t>
  </si>
  <si>
    <t>X3cUAS5</t>
  </si>
  <si>
    <t>NVHA</t>
  </si>
  <si>
    <t>X11UAS5</t>
  </si>
  <si>
    <t>OCRUAS5</t>
  </si>
  <si>
    <t>NCR</t>
  </si>
  <si>
    <t>VA1UAS5</t>
  </si>
  <si>
    <t>VA2UAS5</t>
  </si>
  <si>
    <t>MD1UAS5</t>
  </si>
  <si>
    <t>MD2UAS5</t>
  </si>
  <si>
    <t>MD3UAS5</t>
  </si>
  <si>
    <t>DC1UAS5</t>
  </si>
  <si>
    <t>DC2UAS5</t>
  </si>
  <si>
    <t>DC WASA</t>
  </si>
  <si>
    <t>DC3UAS5</t>
  </si>
  <si>
    <t>DC4UAS5</t>
  </si>
  <si>
    <t>ODMPSJ</t>
  </si>
  <si>
    <t>Text Alert Maintenance Contract</t>
  </si>
  <si>
    <t>Reverse 911 System for NCR</t>
  </si>
  <si>
    <t>Maintenance Contract for Text Alert System (Roam Secure)</t>
  </si>
  <si>
    <t>---UAS5</t>
  </si>
  <si>
    <t>Public Health</t>
  </si>
  <si>
    <t xml:space="preserve">DC EMA </t>
  </si>
  <si>
    <t>03.2.1[R].EX.3</t>
  </si>
  <si>
    <t xml:space="preserve">Fairfax County  </t>
  </si>
  <si>
    <t>Various</t>
  </si>
  <si>
    <t>03.2.1[R].EX.1</t>
  </si>
  <si>
    <t>03.2.1[R].EX.2</t>
  </si>
  <si>
    <t>Award Date</t>
  </si>
  <si>
    <t>RQ #</t>
  </si>
  <si>
    <t>N/A</t>
  </si>
  <si>
    <t>Project Mgr</t>
  </si>
  <si>
    <t>Training and Ex</t>
  </si>
  <si>
    <t>Anthrax AAR</t>
  </si>
  <si>
    <t>UM-CATT</t>
  </si>
  <si>
    <t xml:space="preserve">Mont. Co. Volunteer Center </t>
  </si>
  <si>
    <t>Task No.</t>
  </si>
  <si>
    <t>Recipient</t>
  </si>
  <si>
    <t>Notes</t>
  </si>
  <si>
    <t>03 UASI I</t>
  </si>
  <si>
    <t>03.1.0.AD</t>
  </si>
  <si>
    <t>SAA</t>
  </si>
  <si>
    <t>Grant Administration/Project Management</t>
  </si>
  <si>
    <t>03.1.1.PL</t>
  </si>
  <si>
    <t>MWCOG</t>
  </si>
  <si>
    <t>03.1.3.PL</t>
  </si>
  <si>
    <t>03.1.4.PL</t>
  </si>
  <si>
    <t>George Mason University</t>
  </si>
  <si>
    <t>03.1.5.PL</t>
  </si>
  <si>
    <t>03.1.6.PL</t>
  </si>
  <si>
    <t>American Red Cross</t>
  </si>
  <si>
    <t>03.1.7.PL</t>
  </si>
  <si>
    <t>03.1.8.PL</t>
  </si>
  <si>
    <t>Fairfax County</t>
  </si>
  <si>
    <t>03.1.9.PL</t>
  </si>
  <si>
    <t>TBD</t>
  </si>
  <si>
    <t>03.1.9.a.PL</t>
  </si>
  <si>
    <t>03.1.9.b.EQ</t>
  </si>
  <si>
    <t>03.1.10.PL</t>
  </si>
  <si>
    <t>National Organization on Disabilities</t>
  </si>
  <si>
    <t>03.1.12.EQ</t>
  </si>
  <si>
    <t>03.1.13.EQ</t>
  </si>
  <si>
    <t>Arlington County</t>
  </si>
  <si>
    <t>Total FY03 UASI Part I</t>
  </si>
  <si>
    <t>03.2.0.COG</t>
  </si>
  <si>
    <t>03.2.5.PL (NV)</t>
  </si>
  <si>
    <t>03.2.5.PL (DC)</t>
  </si>
  <si>
    <t>03.2.5.PL (PG)</t>
  </si>
  <si>
    <t>03.2.14.EQ</t>
  </si>
  <si>
    <t>04.1.0.VDEM1</t>
  </si>
  <si>
    <t>04.1.0.VDEM2</t>
  </si>
  <si>
    <t>04.1.0.FFX</t>
  </si>
  <si>
    <t>PM $ for F/EMS turn out gear purchase</t>
  </si>
  <si>
    <t xml:space="preserve">NCR  </t>
  </si>
  <si>
    <t>04.1.13</t>
  </si>
  <si>
    <t>NCR Radio Cache Logistics Support</t>
  </si>
  <si>
    <t>04.1.13.1</t>
  </si>
  <si>
    <t>04.1.17.2</t>
  </si>
  <si>
    <t>04.1.17.3</t>
  </si>
  <si>
    <t>Mont. Co.</t>
  </si>
  <si>
    <t>COMT Training</t>
  </si>
  <si>
    <t>NCR WebEOC Training</t>
  </si>
  <si>
    <t>EMA (Direct Purchase)</t>
  </si>
  <si>
    <t>14CUAS5-1</t>
  </si>
  <si>
    <t>Expand Cit Ed Campaign by targeting special populations</t>
  </si>
  <si>
    <t>UNOBLIGATED - need more detail</t>
  </si>
  <si>
    <t>Direct/SAA</t>
  </si>
  <si>
    <t>6/1/03 - 11/30/05</t>
  </si>
  <si>
    <t>Operational Costs Reimbursement</t>
  </si>
  <si>
    <t>Partial Funding for Roam Secure Maintenace Contract</t>
  </si>
  <si>
    <t>ETOP Gap Analysis</t>
  </si>
  <si>
    <t>04.1.17.6</t>
  </si>
  <si>
    <t>Reimbursement to FFX for Roam Secure Maintenance Contract</t>
  </si>
  <si>
    <t>04.1.18</t>
  </si>
  <si>
    <t>04.1.19</t>
  </si>
  <si>
    <t>03.2.1[R].EX.4</t>
  </si>
  <si>
    <t>DIRECT</t>
  </si>
  <si>
    <t>RQ222987</t>
  </si>
  <si>
    <t>04.1.14</t>
  </si>
  <si>
    <t>04.1.16</t>
  </si>
  <si>
    <t>04.1.17.TR (RQ219953)</t>
  </si>
  <si>
    <t>PENDING CONTRACT AWARD</t>
  </si>
  <si>
    <t>Need status update</t>
  </si>
  <si>
    <t>04.1.17.7</t>
  </si>
  <si>
    <t>NCR Exercise Equipment Cache</t>
  </si>
  <si>
    <t>04.1.17.8</t>
  </si>
  <si>
    <t>04.1.15 (was VA3UAS5)</t>
  </si>
  <si>
    <t>Prince George's County Volunteer Center</t>
  </si>
  <si>
    <t>Loudoun County (OEM)</t>
  </si>
  <si>
    <t>5D4UAS5</t>
  </si>
  <si>
    <t>Fairfax County (OEM)</t>
  </si>
  <si>
    <t>5D5UAS5</t>
  </si>
  <si>
    <t>5D6UAS5</t>
  </si>
  <si>
    <t>5D7UAS5</t>
  </si>
  <si>
    <t>Manassas Park</t>
  </si>
  <si>
    <t>5D8UAS5</t>
  </si>
  <si>
    <t>Prince William County</t>
  </si>
  <si>
    <t>5D9UAS5</t>
  </si>
  <si>
    <t>DC (SDC)</t>
  </si>
  <si>
    <t>Balance of Award</t>
  </si>
  <si>
    <t>To be Awarded</t>
  </si>
  <si>
    <t>Expended Against Award</t>
  </si>
  <si>
    <t>**no awards are made from this line, only reimbursements</t>
  </si>
  <si>
    <t>Project Title</t>
  </si>
  <si>
    <t>Secretariat Support to NCR CAO's and EPC</t>
  </si>
  <si>
    <t>Planning for Nonprofit Coordination in Emergency Preparedness</t>
  </si>
  <si>
    <t>Nonprofit Roundtable</t>
  </si>
  <si>
    <t>Standardized CIP Assessment Tools</t>
  </si>
  <si>
    <t>Private Sector Assets Catalogue/Economic Impact Analysis</t>
  </si>
  <si>
    <t>Disaster Education for grades K-12</t>
  </si>
  <si>
    <t>"Media in the First Response" Symposium</t>
  </si>
  <si>
    <t>Citizen Education Campaign</t>
  </si>
  <si>
    <t>Outreach to Private Sector for Cit Ed Campaign Contract</t>
  </si>
  <si>
    <t>Project Management for Cit Ed Campaign Contract</t>
  </si>
  <si>
    <t>Virtual JIC</t>
  </si>
  <si>
    <t>Other SPG</t>
  </si>
  <si>
    <t>Public Health PPE</t>
  </si>
  <si>
    <t xml:space="preserve">Conference on Emergency Preparedness for People with Disabilities </t>
  </si>
  <si>
    <t>NCR Radio Cache (partial)</t>
  </si>
  <si>
    <t>F/EMS Project  (partial)</t>
  </si>
  <si>
    <t>Burson Marstellar</t>
  </si>
  <si>
    <t>Gr. Wash. Board of Trade</t>
  </si>
  <si>
    <t>F/EMS Project (partial)</t>
  </si>
  <si>
    <t>Police PPE</t>
  </si>
  <si>
    <t>NCR Syndromic Surveillance</t>
  </si>
  <si>
    <t>Hospital Surge Capacity</t>
  </si>
  <si>
    <t>Electronic Citizen Notification</t>
  </si>
  <si>
    <t>Radio Cache Logistical Support</t>
  </si>
  <si>
    <t xml:space="preserve">Radio Cache Logistical Support  </t>
  </si>
  <si>
    <t>Air Tracking Devices for Police Helicopters</t>
  </si>
  <si>
    <t xml:space="preserve">Regional Intel Centers Interoperability  </t>
  </si>
  <si>
    <t>Elevated HSAS Operational Costs</t>
  </si>
  <si>
    <t>NCR Radio Cache  (partial)</t>
  </si>
  <si>
    <t xml:space="preserve">Project Title  </t>
  </si>
  <si>
    <t>Planning for Health Committee</t>
  </si>
  <si>
    <t>Confirm close out</t>
  </si>
  <si>
    <t>Family Reunification Project</t>
  </si>
  <si>
    <t xml:space="preserve">Terrorist interdiction and ICS training for law enforcement </t>
  </si>
  <si>
    <t>Ongoing emergency planning for individuals with diabilities and other special needs.</t>
  </si>
  <si>
    <t>NCR Mass Casualty &amp; Surge Capacity Development Initiative Phase I</t>
  </si>
  <si>
    <t>Regional Data Sharing Needs Assessment</t>
  </si>
  <si>
    <t>Regional Intel Centers Interoperability</t>
  </si>
  <si>
    <t>Secretariat Support to NCR CAO's and EPC (and ESF's)</t>
  </si>
  <si>
    <t>"Training for Managing Emergencies"</t>
  </si>
  <si>
    <t>Transit Sub Grant</t>
  </si>
  <si>
    <t>Interoperability Project  (partial)</t>
  </si>
  <si>
    <t>EMAP Project  (partial)</t>
  </si>
  <si>
    <t>Water Security Project</t>
  </si>
  <si>
    <t>Northern Virginia WebEOC</t>
  </si>
  <si>
    <t xml:space="preserve">Training and Exercise support staff </t>
  </si>
  <si>
    <t>Development of Regional Capabilities to Improve Transportation System Management</t>
  </si>
  <si>
    <t>Securing Freight Rail Transportation in the National Capital Region (Study)</t>
  </si>
  <si>
    <t>Regional Operations Plan Development</t>
  </si>
  <si>
    <t>Debris Staff Training and Exercising</t>
  </si>
  <si>
    <t>Regional Water Supply Emergency Operational Plans and Best Management Practices Guide For Water Security</t>
  </si>
  <si>
    <t>National Capital Region Incident Management Team Training</t>
  </si>
  <si>
    <t>Weapon of Mass Destruction Training – Operations</t>
  </si>
  <si>
    <t>NCR Radio Cache Logistics</t>
  </si>
  <si>
    <t xml:space="preserve">Mass Casualty Support Units and Ambulance Buses </t>
  </si>
  <si>
    <t xml:space="preserve">Washington Metropolitan Area Transit Authority Metrorail Communications Upgrade </t>
  </si>
  <si>
    <t>Integrate Emergency Operation Centers (EOC) and Emergency Communication Centers (ECC) (partial)</t>
  </si>
  <si>
    <t xml:space="preserve">Continuation of Training and Exercises </t>
  </si>
  <si>
    <t>Training and Exercise Support Staff</t>
  </si>
  <si>
    <t>Volunteer/Citizen Corps Project</t>
  </si>
  <si>
    <t xml:space="preserve">Integration of R-ESF6 partners </t>
  </si>
  <si>
    <t>Production of Integrated 2-1-1 Data Repository</t>
  </si>
  <si>
    <t xml:space="preserve">Resource &amp; Logistics Support Enhancement  </t>
  </si>
  <si>
    <t xml:space="preserve">NCR Syndromic Surveillance Network </t>
  </si>
  <si>
    <t>NCR Mass Casualty and Surge Capacity Development Initiative -Phase II</t>
  </si>
  <si>
    <t xml:space="preserve">Telecommunications/Computer Assisted Telephone Interviewing Capacity Data Collection and Management Solution </t>
  </si>
  <si>
    <t xml:space="preserve">NCR Automated Fingerprint Identification System (AFIS) </t>
  </si>
  <si>
    <t xml:space="preserve">Law Enforcement PPE </t>
  </si>
  <si>
    <t>Balance of Subawards/Contracts</t>
  </si>
  <si>
    <t>Expended (Subawards/Contracts)</t>
  </si>
  <si>
    <t xml:space="preserve">Unobligated Balance </t>
  </si>
  <si>
    <t>Percent Unobligated</t>
  </si>
  <si>
    <t>Amount Billed to DHS (Revenue)</t>
  </si>
  <si>
    <t>Amount to be Billed</t>
  </si>
  <si>
    <t>05 HSGP - UASI - NonProfit Target Hardening ($4.5M)</t>
  </si>
  <si>
    <t>5NP01</t>
  </si>
  <si>
    <t>Adas Israel Congregation</t>
  </si>
  <si>
    <t>5NP02</t>
  </si>
  <si>
    <t>Adat Shalom Reconstructionist Congregation</t>
  </si>
  <si>
    <t>5NP03</t>
  </si>
  <si>
    <t>Agudas Achim Congregation</t>
  </si>
  <si>
    <t>5NP19</t>
  </si>
  <si>
    <t xml:space="preserve">Beth El Hebrew Congregation </t>
  </si>
  <si>
    <t>5NP12</t>
  </si>
  <si>
    <t>Chabad Lubavitch of Northern Virginia</t>
  </si>
  <si>
    <t>5NP13</t>
  </si>
  <si>
    <t>Congregation Adat Reyim</t>
  </si>
  <si>
    <t>5NP04</t>
  </si>
  <si>
    <t>Congregation and Talmud Torah B'nai Israel of the Washington D.C. Metropolitan Area</t>
  </si>
  <si>
    <t>5NP14</t>
  </si>
  <si>
    <t>Congregation Beth El of Montgomery County</t>
  </si>
  <si>
    <t>5NP15</t>
  </si>
  <si>
    <t>Congregation Har Shalom</t>
  </si>
  <si>
    <t>5NP16</t>
  </si>
  <si>
    <t>Gesher Jewish Day School of Northern Virginia</t>
  </si>
  <si>
    <t>5NP17</t>
  </si>
  <si>
    <t>Hebrew Home of Greater Washington</t>
  </si>
  <si>
    <t>5NP18</t>
  </si>
  <si>
    <t>Hillel: The Foundation for Jewish Campus Life</t>
  </si>
  <si>
    <t>5NP05</t>
  </si>
  <si>
    <t xml:space="preserve">Jewish Community Center of Greater Washington </t>
  </si>
  <si>
    <t>5NP06</t>
  </si>
  <si>
    <t xml:space="preserve">Jewish Primary Day School of the Nation's Capital </t>
  </si>
  <si>
    <t>5NP07</t>
  </si>
  <si>
    <t>Jewish Social Service Agency</t>
  </si>
  <si>
    <t>5NP20</t>
  </si>
  <si>
    <t>Ohr Kodesh Congregation</t>
  </si>
  <si>
    <t>5NP08</t>
  </si>
  <si>
    <t>Shaare Tefila Congregation</t>
  </si>
  <si>
    <t>5NP09</t>
  </si>
  <si>
    <t>Tifereth Israel Congregation</t>
  </si>
  <si>
    <t>5NP10</t>
  </si>
  <si>
    <t xml:space="preserve">Washington District of Columbia Jewish Community Center </t>
  </si>
  <si>
    <t>5NP21</t>
  </si>
  <si>
    <t>Young Israel Shomrei Emunah of Greater Washington</t>
  </si>
  <si>
    <t>Visibility</t>
  </si>
  <si>
    <t>ETOP POOL (total)</t>
  </si>
  <si>
    <t>03.2.1[R].EX/ 04.1.17.1</t>
  </si>
  <si>
    <t>Earmarked</t>
  </si>
  <si>
    <t>Regional Interoperability Project</t>
  </si>
  <si>
    <t>7/1/03 - 6/30/06</t>
  </si>
  <si>
    <t>12/1/03 - 5/30/06</t>
  </si>
  <si>
    <r>
      <t>NCR</t>
    </r>
    <r>
      <rPr>
        <sz val="10"/>
        <rFont val="Arial"/>
        <family val="2"/>
      </rPr>
      <t xml:space="preserve"> (UASI)</t>
    </r>
  </si>
  <si>
    <r>
      <t>NCR</t>
    </r>
    <r>
      <rPr>
        <sz val="10"/>
        <rFont val="Arial"/>
        <family val="2"/>
      </rPr>
      <t xml:space="preserve"> (Non-profit Allocation)</t>
    </r>
  </si>
  <si>
    <t>PM</t>
  </si>
  <si>
    <t>Mark Yader</t>
  </si>
  <si>
    <t>Sonita Almas</t>
  </si>
  <si>
    <t>Steve Kral</t>
  </si>
  <si>
    <t>Ron Hill</t>
  </si>
  <si>
    <t>CLOSED</t>
  </si>
  <si>
    <t>ON SCHEDULE</t>
  </si>
  <si>
    <t>OPEN ISSUES</t>
  </si>
  <si>
    <t>Twyla Garrett</t>
  </si>
  <si>
    <t>REQUIRES ATTENTION</t>
  </si>
  <si>
    <t>Total 03 UASI II</t>
  </si>
  <si>
    <t>04.1.8.a.EQ</t>
  </si>
  <si>
    <t>Twyla Green</t>
  </si>
  <si>
    <t>1-Red</t>
  </si>
  <si>
    <t>Continuation of NCR Cit Ed Campaign</t>
  </si>
  <si>
    <t>GREEN</t>
  </si>
  <si>
    <t>YELLOW</t>
  </si>
  <si>
    <t>RED</t>
  </si>
  <si>
    <t>BLUE</t>
  </si>
  <si>
    <t>All activities are on schedule to meet plan</t>
  </si>
  <si>
    <t>Open issues may put the schedule and plan in jeopardy</t>
  </si>
  <si>
    <t>Project requires immediate attention due to delays</t>
  </si>
  <si>
    <t>All work is complete</t>
  </si>
  <si>
    <t>Legend for Project List Groupings:</t>
  </si>
  <si>
    <t>DC-MPD</t>
  </si>
  <si>
    <t>04.1.8.b.EQ</t>
  </si>
  <si>
    <t>BASS Training</t>
  </si>
  <si>
    <t>14DUAS5</t>
  </si>
  <si>
    <t>PIO Communications Plan</t>
  </si>
  <si>
    <t>NVRC</t>
  </si>
  <si>
    <t>Total 05 Mass Transit</t>
  </si>
  <si>
    <t>VRE</t>
  </si>
  <si>
    <t>HOLD/TBD</t>
  </si>
  <si>
    <t>5TG01</t>
  </si>
  <si>
    <t>WMATA FY05 TSGP (Rail &amp; Bus)</t>
  </si>
  <si>
    <t>5TG02</t>
  </si>
  <si>
    <t>MTA</t>
  </si>
  <si>
    <t>MTA FY05 TSGP (Rail)</t>
  </si>
  <si>
    <t>5TG03</t>
  </si>
  <si>
    <t>VRE FY05 TSGP (Rail)</t>
  </si>
  <si>
    <t>Training set aside</t>
  </si>
  <si>
    <t>5NP11</t>
  </si>
  <si>
    <t>Bnai Tzedek Congregation</t>
  </si>
  <si>
    <t>5NP22</t>
  </si>
  <si>
    <t>Adventist HealthCare, Inc.</t>
  </si>
  <si>
    <t>5NP23</t>
  </si>
  <si>
    <t>American National Red Cross</t>
  </si>
  <si>
    <t>5NP24</t>
  </si>
  <si>
    <t>Children's National Medical Center (CNMC)</t>
  </si>
  <si>
    <t>5NP25</t>
  </si>
  <si>
    <t>Georgetown University</t>
  </si>
  <si>
    <t>5NP26</t>
  </si>
  <si>
    <t>Inova Loudoun Hospital</t>
  </si>
  <si>
    <t>5NP28</t>
  </si>
  <si>
    <t>Montgomery General Hospital, Inc.</t>
  </si>
  <si>
    <t>5NP29</t>
  </si>
  <si>
    <t>Prince William Hospital</t>
  </si>
  <si>
    <t>5NP30</t>
  </si>
  <si>
    <t>Potomac Hospital Corporation of Prince William</t>
  </si>
  <si>
    <t>5NP31</t>
  </si>
  <si>
    <t>Providence Hospital</t>
  </si>
  <si>
    <t>5NP32</t>
  </si>
  <si>
    <t>Suburban Hospital Healthcare System</t>
  </si>
  <si>
    <t>5NP33</t>
  </si>
  <si>
    <t>Virginia Hospital Center</t>
  </si>
  <si>
    <t>5NP34</t>
  </si>
  <si>
    <t>Capital Area Food Bank</t>
  </si>
  <si>
    <t>05 TSGP</t>
  </si>
  <si>
    <t>Reconcile with VDEM</t>
  </si>
  <si>
    <t>Overage will be covered by lapsed $.</t>
  </si>
  <si>
    <t>Overage of $80K will be covered by lapsed $.</t>
  </si>
  <si>
    <t>Pending contract mods; salaries, etc</t>
  </si>
  <si>
    <t>Reduced OPS Cost set-aside - funding to go to OCTO for Regional Interop Project</t>
  </si>
  <si>
    <t>($   1,000,000)</t>
  </si>
  <si>
    <t>For illustrative purposes, not double-counted</t>
  </si>
  <si>
    <t>OCR1 (ADJ)</t>
  </si>
  <si>
    <t>Need documentation of expenditure</t>
  </si>
  <si>
    <t>Pending jurisdiction breakdown and final plan (and then SPG approval)</t>
  </si>
  <si>
    <t>Sonita Almas/Steve Kral</t>
  </si>
  <si>
    <t>MP has decided not to accept this award.  Reallocation plan will be forthcoming.</t>
  </si>
  <si>
    <t>Rescind balance and close out.</t>
  </si>
  <si>
    <t>Pending issues are preventing forward movement on this.</t>
  </si>
  <si>
    <t>Requires $250K additional due to vendor cost increase.  A request will be forthcoming.</t>
  </si>
  <si>
    <t>No project plan/schedule</t>
  </si>
  <si>
    <t>$1M increase in Jan. '06</t>
  </si>
  <si>
    <t>5NP27</t>
  </si>
  <si>
    <t>INOVA Fairfax Hospital</t>
  </si>
  <si>
    <t>Prepare closeout</t>
  </si>
  <si>
    <t>Received verbal indication that the balance will lapse.</t>
  </si>
  <si>
    <t xml:space="preserve">2/2/06: Need disposition of payment or the funds will lapse.  1/3/06: Final payment request pending - prepare to close out. </t>
  </si>
  <si>
    <t>Reprogramming</t>
  </si>
  <si>
    <t>Need to issue closing GAN.</t>
  </si>
  <si>
    <t>Placeholder only.  Will close gap once final lapse number is identified.</t>
  </si>
  <si>
    <t>Mike Nolan</t>
  </si>
  <si>
    <t>Kevin Fanroy</t>
  </si>
  <si>
    <t>Need an additional $600K+ in order to proceed.</t>
  </si>
  <si>
    <t>No response to update/request for project plans.</t>
  </si>
  <si>
    <t>Awaiting revision of project plan</t>
  </si>
  <si>
    <t>No reports to date.</t>
  </si>
  <si>
    <t>MWAA</t>
  </si>
  <si>
    <t>Final payment received.  Prepare for closeout.</t>
  </si>
  <si>
    <t>Plan received.</t>
  </si>
  <si>
    <t>SAA (Total Expended)</t>
  </si>
  <si>
    <t>Final payment received. Prepare for closeout.</t>
  </si>
  <si>
    <t>Waiting on plan.</t>
  </si>
  <si>
    <t>Pending $17k payment.</t>
  </si>
  <si>
    <t>To be reduced by $200k.</t>
  </si>
  <si>
    <t>Pending $3k payment.</t>
  </si>
  <si>
    <t>Pending $80k payment.</t>
  </si>
  <si>
    <t>Pending $21k payment</t>
  </si>
  <si>
    <t>Pending $2k payment.</t>
  </si>
  <si>
    <t>Pending $73k payment.</t>
  </si>
  <si>
    <t>04.1.20.FFX</t>
  </si>
  <si>
    <t>NIMS 400/800 Training</t>
  </si>
  <si>
    <t>04.1.17.9</t>
  </si>
  <si>
    <t>04.1.17.10</t>
  </si>
  <si>
    <t>04.1.17.11</t>
  </si>
  <si>
    <t>NIMS - ICS 200, 300, and 400 Command and General Staff Training</t>
  </si>
  <si>
    <t>NIMS - ICS for EMS</t>
  </si>
  <si>
    <t>NIMS - Incident Safety Officer</t>
  </si>
  <si>
    <t>Reviewing draft spending plan.</t>
  </si>
  <si>
    <t>5CUAS5-VDEM</t>
  </si>
  <si>
    <t>5CUAS5-FXCO</t>
  </si>
  <si>
    <t xml:space="preserve">Fairfax County </t>
  </si>
  <si>
    <t>VA5UAS5</t>
  </si>
  <si>
    <t>NIMS Compliance Officer</t>
  </si>
  <si>
    <t>14AUAS5-1</t>
  </si>
  <si>
    <t>NCR Risk Communications Training</t>
  </si>
  <si>
    <t>Issued GAN to reduce award.  Working out recission and reallocation issues.</t>
  </si>
  <si>
    <t>Reprogram</t>
  </si>
  <si>
    <t>Available funds due to GAN to reduce 03.2.7[R].PL</t>
  </si>
  <si>
    <t>Updated: 3/6/06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</si>
</sst>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[$-409]d\-mm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_);_(@_)"/>
    <numFmt numFmtId="172" formatCode="_(&quot;$&quot;* #,##0.000_);_(&quot;$&quot;* \(#,##0.000\);_(&quot;$&quot;* &quot;-&quot;??_);_(@_)"/>
    <numFmt numFmtId="173" formatCode="&quot;$&quot;#,##0\ ;\(&quot;$&quot;#,##0\)"/>
    <numFmt numFmtId="174" formatCode="&quot;$&quot;#,##0\ ;[Red]\(&quot;$&quot;#,##0\)"/>
    <numFmt numFmtId="175" formatCode="&quot;$&quot;#,##0.00\ ;\(&quot;$&quot;#,##0.00\)"/>
    <numFmt numFmtId="176" formatCode="&quot;$&quot;#,##0.00\ ;[Red]\(&quot;$&quot;#,##0.00\)"/>
    <numFmt numFmtId="177" formatCode="m/d/yy"/>
    <numFmt numFmtId="178" formatCode="m/d/yy\ h:mm"/>
    <numFmt numFmtId="179" formatCode="d\ h:mm"/>
    <numFmt numFmtId="180" formatCode="[$-409]dddd\,\ mmmm\ dd\,\ yyyy"/>
    <numFmt numFmtId="181" formatCode="[$-409]mmm\-yy;@"/>
    <numFmt numFmtId="182" formatCode="[$-409]h:mm:ss\ AM/PM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_);_(* \(#,##0.0\);_(* &quot;-&quot;??_);_(@_)"/>
    <numFmt numFmtId="190" formatCode="_(* #,##0_);_(* \(#,##0\);_(* &quot;-&quot;??_);_(@_)"/>
    <numFmt numFmtId="191" formatCode="0.0000000000"/>
    <numFmt numFmtId="192" formatCode="0.000000000"/>
    <numFmt numFmtId="193" formatCode="0.000%"/>
    <numFmt numFmtId="194" formatCode="_(* #,##0.000_);_(* \(#,##0.000\);_(* &quot;-&quot;??_);_(@_)"/>
    <numFmt numFmtId="195" formatCode="_(* #,##0.0000_);_(* \(#,##0.0000\);_(* &quot;-&quot;??_);_(@_)"/>
    <numFmt numFmtId="196" formatCode="0.0%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Trebuchet MS"/>
      <family val="2"/>
    </font>
    <font>
      <sz val="10"/>
      <name val="Trebuchet MS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16" fontId="3" fillId="0" borderId="0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17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4" xfId="0" applyFont="1" applyFill="1" applyBorder="1" applyAlignment="1">
      <alignment horizontal="left" vertical="center"/>
    </xf>
    <xf numFmtId="14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164" fontId="0" fillId="0" borderId="4" xfId="17" applyNumberFormat="1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vertical="center" wrapText="1"/>
    </xf>
    <xf numFmtId="164" fontId="0" fillId="0" borderId="6" xfId="0" applyNumberFormat="1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left" vertical="center"/>
    </xf>
    <xf numFmtId="14" fontId="0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 wrapText="1"/>
    </xf>
    <xf numFmtId="164" fontId="0" fillId="0" borderId="7" xfId="17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0" fillId="0" borderId="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vertical="center"/>
    </xf>
    <xf numFmtId="164" fontId="0" fillId="0" borderId="0" xfId="17" applyNumberFormat="1" applyFont="1" applyFill="1" applyBorder="1" applyAlignment="1">
      <alignment/>
    </xf>
    <xf numFmtId="164" fontId="0" fillId="0" borderId="7" xfId="0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43" fontId="0" fillId="0" borderId="0" xfId="15" applyFont="1" applyBorder="1" applyAlignment="1">
      <alignment/>
    </xf>
    <xf numFmtId="0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65" fontId="0" fillId="0" borderId="0" xfId="17" applyNumberFormat="1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7" applyNumberFormat="1" applyFont="1" applyBorder="1" applyAlignment="1">
      <alignment horizontal="center" vertical="center" wrapText="1"/>
    </xf>
    <xf numFmtId="9" fontId="13" fillId="0" borderId="3" xfId="21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5" fontId="0" fillId="0" borderId="1" xfId="17" applyNumberFormat="1" applyFont="1" applyBorder="1" applyAlignment="1">
      <alignment vertical="center"/>
    </xf>
    <xf numFmtId="165" fontId="0" fillId="0" borderId="1" xfId="17" applyNumberFormat="1" applyFont="1" applyBorder="1" applyAlignment="1">
      <alignment vertical="center" wrapText="1"/>
    </xf>
    <xf numFmtId="9" fontId="0" fillId="0" borderId="1" xfId="21" applyFont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165" fontId="0" fillId="0" borderId="1" xfId="17" applyNumberFormat="1" applyFont="1" applyBorder="1" applyAlignment="1">
      <alignment horizontal="center" vertical="center"/>
    </xf>
    <xf numFmtId="165" fontId="14" fillId="0" borderId="1" xfId="17" applyNumberFormat="1" applyFont="1" applyBorder="1" applyAlignment="1">
      <alignment vertical="center"/>
    </xf>
    <xf numFmtId="165" fontId="0" fillId="0" borderId="1" xfId="17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165" fontId="13" fillId="0" borderId="9" xfId="17" applyNumberFormat="1" applyFont="1" applyBorder="1" applyAlignment="1">
      <alignment vertical="center"/>
    </xf>
    <xf numFmtId="9" fontId="13" fillId="0" borderId="9" xfId="21" applyFont="1" applyBorder="1" applyAlignment="1">
      <alignment horizontal="center" vertical="center"/>
    </xf>
    <xf numFmtId="165" fontId="13" fillId="0" borderId="9" xfId="17" applyNumberFormat="1" applyFont="1" applyBorder="1" applyAlignment="1">
      <alignment horizontal="center" vertical="center"/>
    </xf>
    <xf numFmtId="165" fontId="0" fillId="0" borderId="0" xfId="17" applyNumberFormat="1" applyFont="1" applyAlignment="1">
      <alignment vertical="center" wrapText="1"/>
    </xf>
    <xf numFmtId="9" fontId="0" fillId="0" borderId="0" xfId="21" applyFont="1" applyAlignment="1">
      <alignment horizontal="center" vertical="center"/>
    </xf>
    <xf numFmtId="165" fontId="0" fillId="0" borderId="0" xfId="17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4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164" fontId="0" fillId="0" borderId="0" xfId="17" applyNumberFormat="1" applyFont="1" applyFill="1" applyBorder="1" applyAlignment="1">
      <alignment horizontal="left" vertical="center" wrapText="1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164" fontId="13" fillId="2" borderId="0" xfId="0" applyNumberFormat="1" applyFont="1" applyFill="1" applyBorder="1" applyAlignment="1">
      <alignment vertical="center"/>
    </xf>
    <xf numFmtId="164" fontId="13" fillId="2" borderId="0" xfId="0" applyNumberFormat="1" applyFont="1" applyFill="1" applyBorder="1" applyAlignment="1">
      <alignment vertical="center" wrapText="1"/>
    </xf>
    <xf numFmtId="0" fontId="13" fillId="2" borderId="10" xfId="0" applyFont="1" applyFill="1" applyBorder="1" applyAlignment="1">
      <alignment horizontal="center" vertical="center" wrapText="1"/>
    </xf>
    <xf numFmtId="164" fontId="13" fillId="2" borderId="10" xfId="0" applyNumberFormat="1" applyFont="1" applyFill="1" applyBorder="1" applyAlignment="1">
      <alignment horizontal="center" vertical="center"/>
    </xf>
    <xf numFmtId="164" fontId="13" fillId="2" borderId="10" xfId="0" applyNumberFormat="1" applyFont="1" applyFill="1" applyBorder="1" applyAlignment="1">
      <alignment horizontal="center" vertical="center" wrapText="1"/>
    </xf>
    <xf numFmtId="0" fontId="13" fillId="2" borderId="10" xfId="0" applyNumberFormat="1" applyFont="1" applyFill="1" applyBorder="1" applyAlignment="1">
      <alignment horizontal="center" vertical="center" wrapText="1"/>
    </xf>
    <xf numFmtId="164" fontId="13" fillId="2" borderId="11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vertical="center" wrapText="1"/>
    </xf>
    <xf numFmtId="164" fontId="0" fillId="0" borderId="7" xfId="0" applyNumberFormat="1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164" fontId="13" fillId="2" borderId="7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164" fontId="0" fillId="0" borderId="12" xfId="0" applyNumberFormat="1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 wrapText="1"/>
    </xf>
    <xf numFmtId="164" fontId="0" fillId="0" borderId="13" xfId="0" applyNumberFormat="1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164" fontId="0" fillId="0" borderId="0" xfId="0" applyNumberFormat="1" applyFont="1" applyFill="1" applyAlignment="1">
      <alignment/>
    </xf>
    <xf numFmtId="44" fontId="0" fillId="0" borderId="0" xfId="0" applyNumberFormat="1" applyFont="1" applyFill="1" applyAlignment="1">
      <alignment/>
    </xf>
    <xf numFmtId="164" fontId="0" fillId="0" borderId="4" xfId="17" applyNumberFormat="1" applyFont="1" applyFill="1" applyBorder="1" applyAlignment="1">
      <alignment horizontal="left" vertical="center" wrapText="1"/>
    </xf>
    <xf numFmtId="164" fontId="0" fillId="0" borderId="7" xfId="17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3" fillId="2" borderId="7" xfId="0" applyFont="1" applyFill="1" applyBorder="1" applyAlignment="1">
      <alignment vertical="center"/>
    </xf>
    <xf numFmtId="164" fontId="0" fillId="2" borderId="7" xfId="0" applyNumberFormat="1" applyFont="1" applyFill="1" applyBorder="1" applyAlignment="1">
      <alignment vertical="center" wrapText="1"/>
    </xf>
    <xf numFmtId="0" fontId="16" fillId="4" borderId="0" xfId="0" applyFont="1" applyFill="1" applyAlignment="1">
      <alignment horizontal="left" indent="4"/>
    </xf>
    <xf numFmtId="0" fontId="17" fillId="5" borderId="0" xfId="0" applyFont="1" applyFill="1" applyAlignment="1">
      <alignment horizontal="left" indent="4"/>
    </xf>
    <xf numFmtId="0" fontId="16" fillId="6" borderId="0" xfId="0" applyFont="1" applyFill="1" applyAlignment="1">
      <alignment horizontal="left" indent="4"/>
    </xf>
    <xf numFmtId="0" fontId="16" fillId="7" borderId="0" xfId="0" applyFont="1" applyFill="1" applyAlignment="1">
      <alignment horizontal="left" indent="4"/>
    </xf>
    <xf numFmtId="0" fontId="18" fillId="0" borderId="0" xfId="0" applyFont="1" applyAlignment="1">
      <alignment horizontal="left" indent="4"/>
    </xf>
    <xf numFmtId="0" fontId="13" fillId="5" borderId="14" xfId="0" applyFont="1" applyFill="1" applyBorder="1" applyAlignment="1">
      <alignment vertical="center" textRotation="90" wrapText="1"/>
    </xf>
    <xf numFmtId="0" fontId="0" fillId="0" borderId="12" xfId="0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41" fontId="13" fillId="2" borderId="12" xfId="0" applyNumberFormat="1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right" vertical="center"/>
    </xf>
    <xf numFmtId="164" fontId="13" fillId="2" borderId="12" xfId="17" applyNumberFormat="1" applyFont="1" applyFill="1" applyBorder="1" applyAlignment="1">
      <alignment vertical="center"/>
    </xf>
    <xf numFmtId="164" fontId="13" fillId="2" borderId="12" xfId="0" applyNumberFormat="1" applyFont="1" applyFill="1" applyBorder="1" applyAlignment="1">
      <alignment vertical="center" wrapText="1"/>
    </xf>
    <xf numFmtId="164" fontId="13" fillId="2" borderId="13" xfId="0" applyNumberFormat="1" applyFont="1" applyFill="1" applyBorder="1" applyAlignment="1">
      <alignment vertical="center" wrapText="1"/>
    </xf>
    <xf numFmtId="0" fontId="13" fillId="2" borderId="1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center" vertical="center" wrapText="1"/>
    </xf>
    <xf numFmtId="164" fontId="13" fillId="2" borderId="12" xfId="0" applyNumberFormat="1" applyFont="1" applyFill="1" applyBorder="1" applyAlignment="1">
      <alignment horizontal="center" vertical="center"/>
    </xf>
    <xf numFmtId="164" fontId="13" fillId="2" borderId="12" xfId="0" applyNumberFormat="1" applyFont="1" applyFill="1" applyBorder="1" applyAlignment="1">
      <alignment horizontal="center" vertical="center" wrapText="1"/>
    </xf>
    <xf numFmtId="0" fontId="13" fillId="2" borderId="12" xfId="0" applyNumberFormat="1" applyFont="1" applyFill="1" applyBorder="1" applyAlignment="1">
      <alignment horizontal="center" vertical="center" wrapText="1"/>
    </xf>
    <xf numFmtId="164" fontId="13" fillId="2" borderId="13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/>
    </xf>
    <xf numFmtId="164" fontId="13" fillId="2" borderId="12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13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17" applyNumberFormat="1" applyAlignment="1">
      <alignment/>
    </xf>
    <xf numFmtId="0" fontId="6" fillId="2" borderId="14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164" fontId="6" fillId="2" borderId="12" xfId="0" applyNumberFormat="1" applyFont="1" applyFill="1" applyBorder="1" applyAlignment="1">
      <alignment vertical="center"/>
    </xf>
    <xf numFmtId="14" fontId="0" fillId="2" borderId="13" xfId="0" applyNumberFormat="1" applyFill="1" applyBorder="1" applyAlignment="1">
      <alignment horizontal="center" vertical="center"/>
    </xf>
    <xf numFmtId="0" fontId="0" fillId="2" borderId="16" xfId="0" applyFont="1" applyFill="1" applyBorder="1" applyAlignment="1">
      <alignment/>
    </xf>
    <xf numFmtId="164" fontId="0" fillId="2" borderId="8" xfId="0" applyNumberFormat="1" applyFont="1" applyFill="1" applyBorder="1" applyAlignment="1">
      <alignment vertical="center" wrapText="1"/>
    </xf>
    <xf numFmtId="190" fontId="0" fillId="0" borderId="12" xfId="15" applyNumberFormat="1" applyFont="1" applyFill="1" applyBorder="1" applyAlignment="1">
      <alignment vertical="center"/>
    </xf>
    <xf numFmtId="190" fontId="0" fillId="0" borderId="4" xfId="15" applyNumberFormat="1" applyFont="1" applyFill="1" applyBorder="1" applyAlignment="1">
      <alignment vertical="center"/>
    </xf>
    <xf numFmtId="190" fontId="0" fillId="0" borderId="0" xfId="15" applyNumberFormat="1" applyFont="1" applyFill="1" applyBorder="1" applyAlignment="1">
      <alignment vertical="center"/>
    </xf>
    <xf numFmtId="190" fontId="0" fillId="0" borderId="7" xfId="15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vertical="center" wrapText="1"/>
    </xf>
    <xf numFmtId="164" fontId="20" fillId="0" borderId="4" xfId="0" applyNumberFormat="1" applyFont="1" applyFill="1" applyBorder="1" applyAlignment="1">
      <alignment vertical="center" wrapText="1"/>
    </xf>
    <xf numFmtId="164" fontId="20" fillId="0" borderId="0" xfId="0" applyNumberFormat="1" applyFont="1" applyFill="1" applyBorder="1" applyAlignment="1">
      <alignment vertical="center" wrapText="1"/>
    </xf>
    <xf numFmtId="10" fontId="0" fillId="0" borderId="0" xfId="21" applyNumberFormat="1" applyFont="1" applyBorder="1" applyAlignment="1">
      <alignment/>
    </xf>
    <xf numFmtId="164" fontId="19" fillId="0" borderId="0" xfId="17" applyNumberFormat="1" applyFont="1" applyFill="1" applyBorder="1" applyAlignment="1" quotePrefix="1">
      <alignment horizontal="left" vertical="center" wrapText="1"/>
    </xf>
    <xf numFmtId="164" fontId="19" fillId="0" borderId="0" xfId="0" applyNumberFormat="1" applyFont="1" applyFill="1" applyBorder="1" applyAlignment="1">
      <alignment vertical="center"/>
    </xf>
    <xf numFmtId="164" fontId="19" fillId="0" borderId="7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43" fontId="6" fillId="2" borderId="3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43" fontId="6" fillId="2" borderId="12" xfId="0" applyNumberFormat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0" fillId="0" borderId="4" xfId="0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horizontal="left" vertical="center" wrapText="1"/>
    </xf>
    <xf numFmtId="164" fontId="19" fillId="0" borderId="6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/>
    </xf>
    <xf numFmtId="164" fontId="0" fillId="0" borderId="4" xfId="17" applyNumberFormat="1" applyFont="1" applyFill="1" applyBorder="1" applyAlignment="1">
      <alignment/>
    </xf>
    <xf numFmtId="0" fontId="0" fillId="5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vertical="center" wrapText="1"/>
    </xf>
    <xf numFmtId="164" fontId="0" fillId="5" borderId="0" xfId="0" applyNumberFormat="1" applyFont="1" applyFill="1" applyBorder="1" applyAlignment="1">
      <alignment vertical="center"/>
    </xf>
    <xf numFmtId="164" fontId="0" fillId="5" borderId="0" xfId="0" applyNumberFormat="1" applyFont="1" applyFill="1" applyBorder="1" applyAlignment="1">
      <alignment vertical="center" wrapText="1"/>
    </xf>
    <xf numFmtId="164" fontId="0" fillId="5" borderId="6" xfId="0" applyNumberFormat="1" applyFont="1" applyFill="1" applyBorder="1" applyAlignment="1">
      <alignment vertical="center" wrapText="1"/>
    </xf>
    <xf numFmtId="164" fontId="0" fillId="5" borderId="0" xfId="17" applyNumberFormat="1" applyFont="1" applyFill="1" applyBorder="1" applyAlignment="1" quotePrefix="1">
      <alignment horizontal="left" vertical="center" wrapText="1"/>
    </xf>
    <xf numFmtId="43" fontId="0" fillId="0" borderId="0" xfId="0" applyNumberFormat="1" applyFont="1" applyBorder="1" applyAlignment="1">
      <alignment horizontal="center"/>
    </xf>
    <xf numFmtId="164" fontId="22" fillId="0" borderId="0" xfId="21" applyNumberFormat="1" applyFont="1" applyBorder="1" applyAlignment="1">
      <alignment/>
    </xf>
    <xf numFmtId="0" fontId="15" fillId="0" borderId="16" xfId="0" applyFont="1" applyFill="1" applyBorder="1" applyAlignment="1">
      <alignment horizontal="center" vertical="center" textRotation="90" wrapText="1"/>
    </xf>
    <xf numFmtId="165" fontId="13" fillId="2" borderId="0" xfId="17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2" borderId="14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/>
    </xf>
    <xf numFmtId="0" fontId="15" fillId="6" borderId="15" xfId="0" applyFont="1" applyFill="1" applyBorder="1" applyAlignment="1">
      <alignment horizontal="center" vertical="center" textRotation="90" wrapText="1"/>
    </xf>
    <xf numFmtId="0" fontId="15" fillId="6" borderId="17" xfId="0" applyFont="1" applyFill="1" applyBorder="1" applyAlignment="1">
      <alignment horizontal="center" vertical="center" textRotation="90" wrapText="1"/>
    </xf>
    <xf numFmtId="0" fontId="15" fillId="6" borderId="16" xfId="0" applyFont="1" applyFill="1" applyBorder="1" applyAlignment="1">
      <alignment horizontal="center" vertical="center" textRotation="90" wrapText="1"/>
    </xf>
    <xf numFmtId="0" fontId="15" fillId="7" borderId="15" xfId="0" applyFont="1" applyFill="1" applyBorder="1" applyAlignment="1">
      <alignment horizontal="center" vertical="center" textRotation="90" wrapText="1"/>
    </xf>
    <xf numFmtId="0" fontId="15" fillId="7" borderId="17" xfId="0" applyFont="1" applyFill="1" applyBorder="1" applyAlignment="1">
      <alignment horizontal="center" vertical="center" textRotation="90" wrapText="1"/>
    </xf>
    <xf numFmtId="0" fontId="15" fillId="7" borderId="16" xfId="0" applyFont="1" applyFill="1" applyBorder="1" applyAlignment="1">
      <alignment horizontal="center" vertical="center" textRotation="90" wrapText="1"/>
    </xf>
    <xf numFmtId="41" fontId="13" fillId="2" borderId="14" xfId="0" applyNumberFormat="1" applyFont="1" applyFill="1" applyBorder="1" applyAlignment="1">
      <alignment horizontal="center" vertical="center"/>
    </xf>
    <xf numFmtId="41" fontId="13" fillId="2" borderId="12" xfId="0" applyNumberFormat="1" applyFont="1" applyFill="1" applyBorder="1" applyAlignment="1">
      <alignment horizontal="center" vertical="center"/>
    </xf>
    <xf numFmtId="41" fontId="13" fillId="2" borderId="13" xfId="0" applyNumberFormat="1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 textRotation="90" wrapText="1"/>
    </xf>
    <xf numFmtId="0" fontId="13" fillId="5" borderId="16" xfId="0" applyFont="1" applyFill="1" applyBorder="1" applyAlignment="1">
      <alignment horizontal="center" vertical="center" textRotation="90" wrapText="1"/>
    </xf>
    <xf numFmtId="0" fontId="15" fillId="8" borderId="15" xfId="0" applyFont="1" applyFill="1" applyBorder="1" applyAlignment="1">
      <alignment horizontal="center" vertical="center" textRotation="90" wrapText="1"/>
    </xf>
    <xf numFmtId="0" fontId="15" fillId="8" borderId="17" xfId="0" applyFont="1" applyFill="1" applyBorder="1" applyAlignment="1">
      <alignment horizontal="center" vertical="center" textRotation="90" wrapText="1"/>
    </xf>
    <xf numFmtId="0" fontId="15" fillId="8" borderId="16" xfId="0" applyFont="1" applyFill="1" applyBorder="1" applyAlignment="1">
      <alignment horizontal="center" vertical="center" textRotation="90" wrapText="1"/>
    </xf>
    <xf numFmtId="41" fontId="13" fillId="2" borderId="15" xfId="0" applyNumberFormat="1" applyFont="1" applyFill="1" applyBorder="1" applyAlignment="1">
      <alignment horizontal="center" vertical="center"/>
    </xf>
    <xf numFmtId="41" fontId="13" fillId="2" borderId="4" xfId="0" applyNumberFormat="1" applyFont="1" applyFill="1" applyBorder="1" applyAlignment="1">
      <alignment horizontal="center" vertical="center"/>
    </xf>
    <xf numFmtId="41" fontId="13" fillId="2" borderId="5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right" vertical="center"/>
    </xf>
    <xf numFmtId="0" fontId="15" fillId="7" borderId="18" xfId="0" applyFont="1" applyFill="1" applyBorder="1" applyAlignment="1">
      <alignment horizontal="center" vertical="center" textRotation="90" wrapText="1"/>
    </xf>
    <xf numFmtId="0" fontId="15" fillId="7" borderId="19" xfId="0" applyFont="1" applyFill="1" applyBorder="1" applyAlignment="1">
      <alignment horizontal="center" vertical="center" textRotation="90" wrapText="1"/>
    </xf>
    <xf numFmtId="0" fontId="15" fillId="6" borderId="20" xfId="0" applyFont="1" applyFill="1" applyBorder="1" applyAlignment="1">
      <alignment horizontal="center" vertical="center" textRotation="90" wrapText="1"/>
    </xf>
    <xf numFmtId="0" fontId="15" fillId="6" borderId="18" xfId="0" applyFont="1" applyFill="1" applyBorder="1" applyAlignment="1">
      <alignment horizontal="center" vertical="center" textRotation="90" wrapText="1"/>
    </xf>
    <xf numFmtId="0" fontId="15" fillId="6" borderId="19" xfId="0" applyFont="1" applyFill="1" applyBorder="1" applyAlignment="1">
      <alignment horizontal="center" vertical="center" textRotation="90" wrapText="1"/>
    </xf>
    <xf numFmtId="0" fontId="13" fillId="5" borderId="20" xfId="0" applyFont="1" applyFill="1" applyBorder="1" applyAlignment="1">
      <alignment horizontal="center" vertical="center" textRotation="90" wrapText="1"/>
    </xf>
    <xf numFmtId="0" fontId="13" fillId="5" borderId="18" xfId="0" applyFont="1" applyFill="1" applyBorder="1" applyAlignment="1">
      <alignment horizontal="center" vertical="center" textRotation="90" wrapText="1"/>
    </xf>
    <xf numFmtId="0" fontId="13" fillId="5" borderId="19" xfId="0" applyFont="1" applyFill="1" applyBorder="1" applyAlignment="1">
      <alignment horizontal="center" vertical="center" textRotation="90" wrapText="1"/>
    </xf>
    <xf numFmtId="0" fontId="15" fillId="4" borderId="20" xfId="0" applyFont="1" applyFill="1" applyBorder="1" applyAlignment="1">
      <alignment horizontal="center" vertical="center" textRotation="90" wrapText="1"/>
    </xf>
    <xf numFmtId="0" fontId="15" fillId="4" borderId="18" xfId="0" applyFont="1" applyFill="1" applyBorder="1" applyAlignment="1">
      <alignment horizontal="center" vertical="center" textRotation="90" wrapText="1"/>
    </xf>
    <xf numFmtId="0" fontId="15" fillId="4" borderId="19" xfId="0" applyFont="1" applyFill="1" applyBorder="1" applyAlignment="1">
      <alignment horizontal="center" vertical="center" textRotation="90" wrapText="1"/>
    </xf>
    <xf numFmtId="41" fontId="2" fillId="2" borderId="2" xfId="0" applyNumberFormat="1" applyFont="1" applyFill="1" applyBorder="1" applyAlignment="1">
      <alignment horizontal="center" vertical="center"/>
    </xf>
    <xf numFmtId="41" fontId="2" fillId="2" borderId="10" xfId="0" applyNumberFormat="1" applyFont="1" applyFill="1" applyBorder="1" applyAlignment="1">
      <alignment horizontal="center" vertical="center"/>
    </xf>
    <xf numFmtId="41" fontId="13" fillId="2" borderId="9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03 UASI Spending and Obligation Trends - Grant Award - $18,081,000
Grant End Date: November 30, 2005 (Liquidation End Date: March 31, 2006)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5"/>
          <c:order val="0"/>
          <c:tx>
            <c:v>Percent Expended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'[1]03 UASI I Trend Data'!$A$2:$A$28</c:f>
              <c:strCache>
                <c:ptCount val="27"/>
                <c:pt idx="0">
                  <c:v>12/03</c:v>
                </c:pt>
                <c:pt idx="1">
                  <c:v>1/04</c:v>
                </c:pt>
                <c:pt idx="2">
                  <c:v>2/04</c:v>
                </c:pt>
                <c:pt idx="3">
                  <c:v>3/04</c:v>
                </c:pt>
                <c:pt idx="4">
                  <c:v>4/04</c:v>
                </c:pt>
                <c:pt idx="5">
                  <c:v>5/04</c:v>
                </c:pt>
                <c:pt idx="6">
                  <c:v>6/04</c:v>
                </c:pt>
                <c:pt idx="7">
                  <c:v>7/04</c:v>
                </c:pt>
                <c:pt idx="8">
                  <c:v>8/04</c:v>
                </c:pt>
                <c:pt idx="9">
                  <c:v>9/04</c:v>
                </c:pt>
                <c:pt idx="10">
                  <c:v>10/04</c:v>
                </c:pt>
                <c:pt idx="11">
                  <c:v>11/04</c:v>
                </c:pt>
                <c:pt idx="12">
                  <c:v>12/04</c:v>
                </c:pt>
                <c:pt idx="13">
                  <c:v>1/05</c:v>
                </c:pt>
                <c:pt idx="14">
                  <c:v>2/05</c:v>
                </c:pt>
                <c:pt idx="15">
                  <c:v>3/05</c:v>
                </c:pt>
                <c:pt idx="16">
                  <c:v>4/05</c:v>
                </c:pt>
                <c:pt idx="17">
                  <c:v>5/05</c:v>
                </c:pt>
                <c:pt idx="18">
                  <c:v>6/05</c:v>
                </c:pt>
                <c:pt idx="19">
                  <c:v>7/05</c:v>
                </c:pt>
                <c:pt idx="20">
                  <c:v>8/05</c:v>
                </c:pt>
                <c:pt idx="21">
                  <c:v>9/05</c:v>
                </c:pt>
                <c:pt idx="22">
                  <c:v>10/05</c:v>
                </c:pt>
                <c:pt idx="23">
                  <c:v>11/05</c:v>
                </c:pt>
                <c:pt idx="24">
                  <c:v>12/05</c:v>
                </c:pt>
                <c:pt idx="25">
                  <c:v>1/06</c:v>
                </c:pt>
                <c:pt idx="26">
                  <c:v>2/06</c:v>
                </c:pt>
              </c:strCache>
            </c:strRef>
          </c:cat>
          <c:val>
            <c:numRef>
              <c:f>'[1]03 UASI I Trend Data'!$I$2:$I$28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0.005027633427354681</c:v>
                </c:pt>
                <c:pt idx="4">
                  <c:v>0.005765922238814225</c:v>
                </c:pt>
                <c:pt idx="5">
                  <c:v>0.013456465350367788</c:v>
                </c:pt>
                <c:pt idx="6">
                  <c:v>0.023621324041811845</c:v>
                </c:pt>
                <c:pt idx="7">
                  <c:v>0.024397285548365684</c:v>
                </c:pt>
                <c:pt idx="8">
                  <c:v>0.05843653669597921</c:v>
                </c:pt>
                <c:pt idx="9">
                  <c:v>0.12049475582102759</c:v>
                </c:pt>
                <c:pt idx="10">
                  <c:v>0.09633407112438469</c:v>
                </c:pt>
                <c:pt idx="11">
                  <c:v>0.13214096841988826</c:v>
                </c:pt>
                <c:pt idx="12">
                  <c:v>0.14854541120513243</c:v>
                </c:pt>
                <c:pt idx="13">
                  <c:v>0.19518705657872903</c:v>
                </c:pt>
                <c:pt idx="14">
                  <c:v>0.3008178966871301</c:v>
                </c:pt>
                <c:pt idx="15">
                  <c:v>0.3139605414523533</c:v>
                </c:pt>
                <c:pt idx="16">
                  <c:v>0.33274914606493</c:v>
                </c:pt>
                <c:pt idx="17">
                  <c:v>0.47900301642608256</c:v>
                </c:pt>
                <c:pt idx="18">
                  <c:v>0.63620933355456</c:v>
                </c:pt>
                <c:pt idx="19">
                  <c:v>0.671817747912173</c:v>
                </c:pt>
                <c:pt idx="20">
                  <c:v>0.7565676328742879</c:v>
                </c:pt>
                <c:pt idx="21">
                  <c:v>0.8223891615507991</c:v>
                </c:pt>
                <c:pt idx="22">
                  <c:v>0.8223891615507991</c:v>
                </c:pt>
                <c:pt idx="23">
                  <c:v>0.840863363198938</c:v>
                </c:pt>
                <c:pt idx="24">
                  <c:v>0.9218045561639288</c:v>
                </c:pt>
                <c:pt idx="25">
                  <c:v>0.9365593855428348</c:v>
                </c:pt>
                <c:pt idx="26">
                  <c:v>0.991669305901222</c:v>
                </c:pt>
              </c:numCache>
            </c:numRef>
          </c:val>
        </c:ser>
        <c:ser>
          <c:idx val="6"/>
          <c:order val="1"/>
          <c:tx>
            <c:v>Percent Obligated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'[1]03 UASI I Trend Data'!$A$2:$A$28</c:f>
              <c:strCache>
                <c:ptCount val="27"/>
                <c:pt idx="0">
                  <c:v>12/03</c:v>
                </c:pt>
                <c:pt idx="1">
                  <c:v>1/04</c:v>
                </c:pt>
                <c:pt idx="2">
                  <c:v>2/04</c:v>
                </c:pt>
                <c:pt idx="3">
                  <c:v>3/04</c:v>
                </c:pt>
                <c:pt idx="4">
                  <c:v>4/04</c:v>
                </c:pt>
                <c:pt idx="5">
                  <c:v>5/04</c:v>
                </c:pt>
                <c:pt idx="6">
                  <c:v>6/04</c:v>
                </c:pt>
                <c:pt idx="7">
                  <c:v>7/04</c:v>
                </c:pt>
                <c:pt idx="8">
                  <c:v>8/04</c:v>
                </c:pt>
                <c:pt idx="9">
                  <c:v>9/04</c:v>
                </c:pt>
                <c:pt idx="10">
                  <c:v>10/04</c:v>
                </c:pt>
                <c:pt idx="11">
                  <c:v>11/04</c:v>
                </c:pt>
                <c:pt idx="12">
                  <c:v>12/04</c:v>
                </c:pt>
                <c:pt idx="13">
                  <c:v>1/05</c:v>
                </c:pt>
                <c:pt idx="14">
                  <c:v>2/05</c:v>
                </c:pt>
                <c:pt idx="15">
                  <c:v>3/05</c:v>
                </c:pt>
                <c:pt idx="16">
                  <c:v>4/05</c:v>
                </c:pt>
                <c:pt idx="17">
                  <c:v>5/05</c:v>
                </c:pt>
                <c:pt idx="18">
                  <c:v>6/05</c:v>
                </c:pt>
                <c:pt idx="19">
                  <c:v>7/05</c:v>
                </c:pt>
                <c:pt idx="20">
                  <c:v>8/05</c:v>
                </c:pt>
                <c:pt idx="21">
                  <c:v>9/05</c:v>
                </c:pt>
                <c:pt idx="22">
                  <c:v>10/05</c:v>
                </c:pt>
                <c:pt idx="23">
                  <c:v>11/05</c:v>
                </c:pt>
                <c:pt idx="24">
                  <c:v>12/05</c:v>
                </c:pt>
                <c:pt idx="25">
                  <c:v>1/06</c:v>
                </c:pt>
                <c:pt idx="26">
                  <c:v>2/06</c:v>
                </c:pt>
              </c:strCache>
            </c:strRef>
          </c:cat>
          <c:val>
            <c:numRef>
              <c:f>'[1]03 UASI I Trend Data'!$J$2:$J$28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0.060510978375089876</c:v>
                </c:pt>
                <c:pt idx="3">
                  <c:v>0.30247502903600465</c:v>
                </c:pt>
                <c:pt idx="4">
                  <c:v>0.3017367402245451</c:v>
                </c:pt>
                <c:pt idx="5">
                  <c:v>0.2954288640008849</c:v>
                </c:pt>
                <c:pt idx="6">
                  <c:v>0.28794923234334385</c:v>
                </c:pt>
                <c:pt idx="7">
                  <c:v>0.2878435412864333</c:v>
                </c:pt>
                <c:pt idx="8">
                  <c:v>0.26884355677230243</c:v>
                </c:pt>
                <c:pt idx="9">
                  <c:v>0.34139263591615515</c:v>
                </c:pt>
                <c:pt idx="10">
                  <c:v>0.3631563547370168</c:v>
                </c:pt>
                <c:pt idx="11">
                  <c:v>0.3363526707593607</c:v>
                </c:pt>
                <c:pt idx="12">
                  <c:v>0.401021093412975</c:v>
                </c:pt>
                <c:pt idx="13">
                  <c:v>0.35607775012444004</c:v>
                </c:pt>
                <c:pt idx="14">
                  <c:v>0.2674648365687739</c:v>
                </c:pt>
                <c:pt idx="15">
                  <c:v>0.6238077379569714</c:v>
                </c:pt>
                <c:pt idx="16">
                  <c:v>0.6050191333443947</c:v>
                </c:pt>
                <c:pt idx="17">
                  <c:v>0.4587652629832421</c:v>
                </c:pt>
                <c:pt idx="18">
                  <c:v>0.3015589458547647</c:v>
                </c:pt>
                <c:pt idx="19">
                  <c:v>0.2709834389690836</c:v>
                </c:pt>
                <c:pt idx="20">
                  <c:v>0.24047391681876007</c:v>
                </c:pt>
                <c:pt idx="21">
                  <c:v>0.1624176384049555</c:v>
                </c:pt>
                <c:pt idx="22">
                  <c:v>0.15613336209280462</c:v>
                </c:pt>
                <c:pt idx="23">
                  <c:v>0.15611519219069744</c:v>
                </c:pt>
                <c:pt idx="24">
                  <c:v>0.07888999944693327</c:v>
                </c:pt>
                <c:pt idx="25">
                  <c:v>0.06413517006802724</c:v>
                </c:pt>
                <c:pt idx="26">
                  <c:v>0.009025249709639981</c:v>
                </c:pt>
              </c:numCache>
            </c:numRef>
          </c:val>
        </c:ser>
        <c:overlap val="100"/>
        <c:axId val="6804698"/>
        <c:axId val="61242283"/>
      </c:barChart>
      <c:catAx>
        <c:axId val="6804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(Effective) Grant Period of Performance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42283"/>
        <c:crosses val="autoZero"/>
        <c:auto val="1"/>
        <c:lblOffset val="100"/>
        <c:noMultiLvlLbl val="0"/>
      </c:catAx>
      <c:valAx>
        <c:axId val="6124228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Percent of Grant Award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680469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03 UASI II Spending and Obligation Trends - Grant Award: $42,409,851
Grant End Date: June 30,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63"/>
          <c:w val="0.95425"/>
          <c:h val="0.7885"/>
        </c:manualLayout>
      </c:layout>
      <c:barChart>
        <c:barDir val="col"/>
        <c:grouping val="stacked"/>
        <c:varyColors val="0"/>
        <c:ser>
          <c:idx val="5"/>
          <c:order val="0"/>
          <c:tx>
            <c:v>Percent Expended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'[1]03 UASI II Trend Data'!$A$2:$A$31</c:f>
              <c:strCache>
                <c:ptCount val="30"/>
                <c:pt idx="0">
                  <c:v>12/03</c:v>
                </c:pt>
                <c:pt idx="1">
                  <c:v>1/04</c:v>
                </c:pt>
                <c:pt idx="2">
                  <c:v>2/04</c:v>
                </c:pt>
                <c:pt idx="3">
                  <c:v>3/04</c:v>
                </c:pt>
                <c:pt idx="4">
                  <c:v>4/04</c:v>
                </c:pt>
                <c:pt idx="5">
                  <c:v>5/04</c:v>
                </c:pt>
                <c:pt idx="6">
                  <c:v>6/04</c:v>
                </c:pt>
                <c:pt idx="7">
                  <c:v>7/04</c:v>
                </c:pt>
                <c:pt idx="8">
                  <c:v>8/04</c:v>
                </c:pt>
                <c:pt idx="9">
                  <c:v>9/04</c:v>
                </c:pt>
                <c:pt idx="10">
                  <c:v>10/04</c:v>
                </c:pt>
                <c:pt idx="11">
                  <c:v>11/04</c:v>
                </c:pt>
                <c:pt idx="12">
                  <c:v>12/04</c:v>
                </c:pt>
                <c:pt idx="13">
                  <c:v>1/05</c:v>
                </c:pt>
                <c:pt idx="14">
                  <c:v>2/05</c:v>
                </c:pt>
                <c:pt idx="15">
                  <c:v>3/05</c:v>
                </c:pt>
                <c:pt idx="16">
                  <c:v>4/05</c:v>
                </c:pt>
                <c:pt idx="17">
                  <c:v>5/05</c:v>
                </c:pt>
                <c:pt idx="18">
                  <c:v>6/05</c:v>
                </c:pt>
                <c:pt idx="19">
                  <c:v>7/05</c:v>
                </c:pt>
                <c:pt idx="20">
                  <c:v>8/05</c:v>
                </c:pt>
                <c:pt idx="21">
                  <c:v>9/05</c:v>
                </c:pt>
                <c:pt idx="22">
                  <c:v>10/05</c:v>
                </c:pt>
                <c:pt idx="23">
                  <c:v>11/05</c:v>
                </c:pt>
                <c:pt idx="24">
                  <c:v>12/05</c:v>
                </c:pt>
                <c:pt idx="25">
                  <c:v>1/06</c:v>
                </c:pt>
                <c:pt idx="26">
                  <c:v>2/06</c:v>
                </c:pt>
                <c:pt idx="27">
                  <c:v>3/06</c:v>
                </c:pt>
                <c:pt idx="28">
                  <c:v>4/06</c:v>
                </c:pt>
                <c:pt idx="29">
                  <c:v>5/06</c:v>
                </c:pt>
              </c:strCache>
            </c:strRef>
          </c:cat>
          <c:val>
            <c:numRef>
              <c:f>'[1]03 UASI II Trend Data'!$I$2:$I$31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0.003391211159878869</c:v>
                </c:pt>
                <c:pt idx="4">
                  <c:v>0.003391211159878869</c:v>
                </c:pt>
                <c:pt idx="5">
                  <c:v>0.003391211159878869</c:v>
                </c:pt>
                <c:pt idx="6">
                  <c:v>0.004218803079501505</c:v>
                </c:pt>
                <c:pt idx="7">
                  <c:v>0.004384573763298531</c:v>
                </c:pt>
                <c:pt idx="8">
                  <c:v>0.009786550063568957</c:v>
                </c:pt>
                <c:pt idx="9">
                  <c:v>0.050663155124030024</c:v>
                </c:pt>
                <c:pt idx="10">
                  <c:v>0.01156692061945702</c:v>
                </c:pt>
                <c:pt idx="11">
                  <c:v>0.06295635228711366</c:v>
                </c:pt>
                <c:pt idx="12">
                  <c:v>0.06723532912200045</c:v>
                </c:pt>
                <c:pt idx="13">
                  <c:v>0.0780998624588424</c:v>
                </c:pt>
                <c:pt idx="14">
                  <c:v>0.13669709662502705</c:v>
                </c:pt>
                <c:pt idx="15">
                  <c:v>0.15896838991488085</c:v>
                </c:pt>
                <c:pt idx="16">
                  <c:v>0.2623373430385313</c:v>
                </c:pt>
                <c:pt idx="17">
                  <c:v>0.43686196846105396</c:v>
                </c:pt>
                <c:pt idx="18">
                  <c:v>0.44604164985158756</c:v>
                </c:pt>
                <c:pt idx="19">
                  <c:v>0.45152094875315646</c:v>
                </c:pt>
                <c:pt idx="20">
                  <c:v>0.6515390539806424</c:v>
                </c:pt>
                <c:pt idx="21">
                  <c:v>0.677620205975258</c:v>
                </c:pt>
                <c:pt idx="22">
                  <c:v>0.676806107854517</c:v>
                </c:pt>
                <c:pt idx="23">
                  <c:v>0.8326857073843528</c:v>
                </c:pt>
                <c:pt idx="24">
                  <c:v>0.838844136471972</c:v>
                </c:pt>
                <c:pt idx="25">
                  <c:v>0.8394167381064366</c:v>
                </c:pt>
                <c:pt idx="26">
                  <c:v>0.8941066366868397</c:v>
                </c:pt>
              </c:numCache>
            </c:numRef>
          </c:val>
        </c:ser>
        <c:ser>
          <c:idx val="6"/>
          <c:order val="1"/>
          <c:tx>
            <c:v>Percent Obligated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'[1]03 UASI II Trend Data'!$A$2:$A$31</c:f>
              <c:strCache>
                <c:ptCount val="30"/>
                <c:pt idx="0">
                  <c:v>12/03</c:v>
                </c:pt>
                <c:pt idx="1">
                  <c:v>1/04</c:v>
                </c:pt>
                <c:pt idx="2">
                  <c:v>2/04</c:v>
                </c:pt>
                <c:pt idx="3">
                  <c:v>3/04</c:v>
                </c:pt>
                <c:pt idx="4">
                  <c:v>4/04</c:v>
                </c:pt>
                <c:pt idx="5">
                  <c:v>5/04</c:v>
                </c:pt>
                <c:pt idx="6">
                  <c:v>6/04</c:v>
                </c:pt>
                <c:pt idx="7">
                  <c:v>7/04</c:v>
                </c:pt>
                <c:pt idx="8">
                  <c:v>8/04</c:v>
                </c:pt>
                <c:pt idx="9">
                  <c:v>9/04</c:v>
                </c:pt>
                <c:pt idx="10">
                  <c:v>10/04</c:v>
                </c:pt>
                <c:pt idx="11">
                  <c:v>11/04</c:v>
                </c:pt>
                <c:pt idx="12">
                  <c:v>12/04</c:v>
                </c:pt>
                <c:pt idx="13">
                  <c:v>1/05</c:v>
                </c:pt>
                <c:pt idx="14">
                  <c:v>2/05</c:v>
                </c:pt>
                <c:pt idx="15">
                  <c:v>3/05</c:v>
                </c:pt>
                <c:pt idx="16">
                  <c:v>4/05</c:v>
                </c:pt>
                <c:pt idx="17">
                  <c:v>5/05</c:v>
                </c:pt>
                <c:pt idx="18">
                  <c:v>6/05</c:v>
                </c:pt>
                <c:pt idx="19">
                  <c:v>7/05</c:v>
                </c:pt>
                <c:pt idx="20">
                  <c:v>8/05</c:v>
                </c:pt>
                <c:pt idx="21">
                  <c:v>9/05</c:v>
                </c:pt>
                <c:pt idx="22">
                  <c:v>10/05</c:v>
                </c:pt>
                <c:pt idx="23">
                  <c:v>11/05</c:v>
                </c:pt>
                <c:pt idx="24">
                  <c:v>12/05</c:v>
                </c:pt>
                <c:pt idx="25">
                  <c:v>1/06</c:v>
                </c:pt>
                <c:pt idx="26">
                  <c:v>2/06</c:v>
                </c:pt>
                <c:pt idx="27">
                  <c:v>3/06</c:v>
                </c:pt>
                <c:pt idx="28">
                  <c:v>4/06</c:v>
                </c:pt>
                <c:pt idx="29">
                  <c:v>5/06</c:v>
                </c:pt>
              </c:strCache>
            </c:strRef>
          </c:cat>
          <c:val>
            <c:numRef>
              <c:f>'[1]03 UASI II Trend Data'!$J$2:$J$31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0.04323349308631148</c:v>
                </c:pt>
                <c:pt idx="4">
                  <c:v>0.04323349308631148</c:v>
                </c:pt>
                <c:pt idx="5">
                  <c:v>0.04382297876972027</c:v>
                </c:pt>
                <c:pt idx="6">
                  <c:v>0.08350131576741451</c:v>
                </c:pt>
                <c:pt idx="7">
                  <c:v>0.15698633673577397</c:v>
                </c:pt>
                <c:pt idx="8">
                  <c:v>0.15217471407763258</c:v>
                </c:pt>
                <c:pt idx="9">
                  <c:v>0.10494447457502268</c:v>
                </c:pt>
                <c:pt idx="10">
                  <c:v>0.12049757967789136</c:v>
                </c:pt>
                <c:pt idx="11">
                  <c:v>0.23564346288318722</c:v>
                </c:pt>
                <c:pt idx="12">
                  <c:v>0.5665656535789291</c:v>
                </c:pt>
                <c:pt idx="13">
                  <c:v>0.6406119538123347</c:v>
                </c:pt>
                <c:pt idx="14">
                  <c:v>0.5937752657985051</c:v>
                </c:pt>
                <c:pt idx="15">
                  <c:v>0.6762463801157895</c:v>
                </c:pt>
                <c:pt idx="16">
                  <c:v>0.5824334063328822</c:v>
                </c:pt>
                <c:pt idx="17">
                  <c:v>0.5500575123454217</c:v>
                </c:pt>
                <c:pt idx="18">
                  <c:v>0.5482294745624074</c:v>
                </c:pt>
                <c:pt idx="19">
                  <c:v>0.5419108272745403</c:v>
                </c:pt>
                <c:pt idx="20">
                  <c:v>0.34612511512950117</c:v>
                </c:pt>
                <c:pt idx="21">
                  <c:v>0.32362753832829994</c:v>
                </c:pt>
                <c:pt idx="22">
                  <c:v>0.3244416364490408</c:v>
                </c:pt>
                <c:pt idx="23">
                  <c:v>0.16856203691920515</c:v>
                </c:pt>
                <c:pt idx="24">
                  <c:v>0.16240360783158586</c:v>
                </c:pt>
                <c:pt idx="25">
                  <c:v>0.16240360783158586</c:v>
                </c:pt>
                <c:pt idx="26">
                  <c:v>0.16240360783158586</c:v>
                </c:pt>
              </c:numCache>
            </c:numRef>
          </c:val>
        </c:ser>
        <c:overlap val="100"/>
        <c:axId val="14309636"/>
        <c:axId val="61677861"/>
      </c:barChart>
      <c:catAx>
        <c:axId val="14309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(Effective) Grant Period of Performance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77861"/>
        <c:crosses val="autoZero"/>
        <c:auto val="1"/>
        <c:lblOffset val="100"/>
        <c:noMultiLvlLbl val="0"/>
      </c:catAx>
      <c:valAx>
        <c:axId val="6167786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Percent of Total Grant Award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14309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65"/>
          <c:y val="0.09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04 UASI Spending and Obligation Trends - Grant Award $31,921,361
Grant End Date: May 31,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63"/>
          <c:w val="0.95425"/>
          <c:h val="0.7885"/>
        </c:manualLayout>
      </c:layout>
      <c:barChart>
        <c:barDir val="col"/>
        <c:grouping val="stacked"/>
        <c:varyColors val="0"/>
        <c:ser>
          <c:idx val="6"/>
          <c:order val="0"/>
          <c:tx>
            <c:v>Percent Expended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'[1]04 UASI Trend Data'!$A$2:$A$31</c:f>
              <c:strCache>
                <c:ptCount val="30"/>
                <c:pt idx="0">
                  <c:v>12/03</c:v>
                </c:pt>
                <c:pt idx="1">
                  <c:v>1/04</c:v>
                </c:pt>
                <c:pt idx="2">
                  <c:v>2/04</c:v>
                </c:pt>
                <c:pt idx="3">
                  <c:v>3/04</c:v>
                </c:pt>
                <c:pt idx="4">
                  <c:v>4/04</c:v>
                </c:pt>
                <c:pt idx="5">
                  <c:v>5/04</c:v>
                </c:pt>
                <c:pt idx="6">
                  <c:v>6/04</c:v>
                </c:pt>
                <c:pt idx="7">
                  <c:v>7/04</c:v>
                </c:pt>
                <c:pt idx="8">
                  <c:v>8/04</c:v>
                </c:pt>
                <c:pt idx="9">
                  <c:v>9/04</c:v>
                </c:pt>
                <c:pt idx="10">
                  <c:v>10/04</c:v>
                </c:pt>
                <c:pt idx="11">
                  <c:v>11/04</c:v>
                </c:pt>
                <c:pt idx="12">
                  <c:v>12/04</c:v>
                </c:pt>
                <c:pt idx="13">
                  <c:v>1/05</c:v>
                </c:pt>
                <c:pt idx="14">
                  <c:v>2/05</c:v>
                </c:pt>
                <c:pt idx="15">
                  <c:v>3/05</c:v>
                </c:pt>
                <c:pt idx="16">
                  <c:v>4/05</c:v>
                </c:pt>
                <c:pt idx="17">
                  <c:v>5/05</c:v>
                </c:pt>
                <c:pt idx="18">
                  <c:v>6/05</c:v>
                </c:pt>
                <c:pt idx="19">
                  <c:v>7/05</c:v>
                </c:pt>
                <c:pt idx="20">
                  <c:v>8/05</c:v>
                </c:pt>
                <c:pt idx="21">
                  <c:v>9/05</c:v>
                </c:pt>
                <c:pt idx="22">
                  <c:v>10/05</c:v>
                </c:pt>
                <c:pt idx="23">
                  <c:v>11/05</c:v>
                </c:pt>
                <c:pt idx="24">
                  <c:v>12/05</c:v>
                </c:pt>
                <c:pt idx="25">
                  <c:v>1/06</c:v>
                </c:pt>
                <c:pt idx="26">
                  <c:v>2/06</c:v>
                </c:pt>
                <c:pt idx="27">
                  <c:v>3/06</c:v>
                </c:pt>
                <c:pt idx="28">
                  <c:v>4/06</c:v>
                </c:pt>
                <c:pt idx="29">
                  <c:v>5/06</c:v>
                </c:pt>
              </c:strCache>
            </c:strRef>
          </c:cat>
          <c:val>
            <c:numRef>
              <c:f>'[1]04 UASI Trend Data'!$I$2:$I$31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0.0003441269311794068</c:v>
                </c:pt>
                <c:pt idx="10">
                  <c:v>0.0003441269311794068</c:v>
                </c:pt>
                <c:pt idx="11">
                  <c:v>0.0004268301718087772</c:v>
                </c:pt>
                <c:pt idx="12">
                  <c:v>0.0004268301718087772</c:v>
                </c:pt>
                <c:pt idx="13">
                  <c:v>0.0004268301718087772</c:v>
                </c:pt>
                <c:pt idx="14">
                  <c:v>0.0004268301718087772</c:v>
                </c:pt>
                <c:pt idx="15">
                  <c:v>0.0010973611056245376</c:v>
                </c:pt>
                <c:pt idx="16">
                  <c:v>0.0019425891646662559</c:v>
                </c:pt>
                <c:pt idx="17">
                  <c:v>0.003698265559541775</c:v>
                </c:pt>
                <c:pt idx="18">
                  <c:v>0.014415843986100718</c:v>
                </c:pt>
                <c:pt idx="19">
                  <c:v>0.014943647609511387</c:v>
                </c:pt>
                <c:pt idx="20">
                  <c:v>0.04421470782527099</c:v>
                </c:pt>
                <c:pt idx="21">
                  <c:v>0.23468375862796076</c:v>
                </c:pt>
                <c:pt idx="22">
                  <c:v>0.23468375862796076</c:v>
                </c:pt>
                <c:pt idx="23">
                  <c:v>0.27539253636459926</c:v>
                </c:pt>
                <c:pt idx="24">
                  <c:v>0.3030330182350308</c:v>
                </c:pt>
                <c:pt idx="25">
                  <c:v>0.40713768720575544</c:v>
                </c:pt>
                <c:pt idx="26">
                  <c:v>0.47841610168188003</c:v>
                </c:pt>
              </c:numCache>
            </c:numRef>
          </c:val>
        </c:ser>
        <c:ser>
          <c:idx val="7"/>
          <c:order val="1"/>
          <c:tx>
            <c:v>Percent Obligated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'[1]04 UASI Trend Data'!$A$2:$A$31</c:f>
              <c:strCache>
                <c:ptCount val="30"/>
                <c:pt idx="0">
                  <c:v>12/03</c:v>
                </c:pt>
                <c:pt idx="1">
                  <c:v>1/04</c:v>
                </c:pt>
                <c:pt idx="2">
                  <c:v>2/04</c:v>
                </c:pt>
                <c:pt idx="3">
                  <c:v>3/04</c:v>
                </c:pt>
                <c:pt idx="4">
                  <c:v>4/04</c:v>
                </c:pt>
                <c:pt idx="5">
                  <c:v>5/04</c:v>
                </c:pt>
                <c:pt idx="6">
                  <c:v>6/04</c:v>
                </c:pt>
                <c:pt idx="7">
                  <c:v>7/04</c:v>
                </c:pt>
                <c:pt idx="8">
                  <c:v>8/04</c:v>
                </c:pt>
                <c:pt idx="9">
                  <c:v>9/04</c:v>
                </c:pt>
                <c:pt idx="10">
                  <c:v>10/04</c:v>
                </c:pt>
                <c:pt idx="11">
                  <c:v>11/04</c:v>
                </c:pt>
                <c:pt idx="12">
                  <c:v>12/04</c:v>
                </c:pt>
                <c:pt idx="13">
                  <c:v>1/05</c:v>
                </c:pt>
                <c:pt idx="14">
                  <c:v>2/05</c:v>
                </c:pt>
                <c:pt idx="15">
                  <c:v>3/05</c:v>
                </c:pt>
                <c:pt idx="16">
                  <c:v>4/05</c:v>
                </c:pt>
                <c:pt idx="17">
                  <c:v>5/05</c:v>
                </c:pt>
                <c:pt idx="18">
                  <c:v>6/05</c:v>
                </c:pt>
                <c:pt idx="19">
                  <c:v>7/05</c:v>
                </c:pt>
                <c:pt idx="20">
                  <c:v>8/05</c:v>
                </c:pt>
                <c:pt idx="21">
                  <c:v>9/05</c:v>
                </c:pt>
                <c:pt idx="22">
                  <c:v>10/05</c:v>
                </c:pt>
                <c:pt idx="23">
                  <c:v>11/05</c:v>
                </c:pt>
                <c:pt idx="24">
                  <c:v>12/05</c:v>
                </c:pt>
                <c:pt idx="25">
                  <c:v>1/06</c:v>
                </c:pt>
                <c:pt idx="26">
                  <c:v>2/06</c:v>
                </c:pt>
                <c:pt idx="27">
                  <c:v>3/06</c:v>
                </c:pt>
                <c:pt idx="28">
                  <c:v>4/06</c:v>
                </c:pt>
                <c:pt idx="29">
                  <c:v>5/06</c:v>
                </c:pt>
              </c:strCache>
            </c:strRef>
          </c:cat>
          <c:val>
            <c:numRef>
              <c:f>'[1]04 UASI Trend Data'!$J$2:$J$31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0.0874880616775707</c:v>
                </c:pt>
                <c:pt idx="7">
                  <c:v>0.0874880616775707</c:v>
                </c:pt>
                <c:pt idx="8">
                  <c:v>0.08783218860875011</c:v>
                </c:pt>
                <c:pt idx="9">
                  <c:v>0.0874880616775707</c:v>
                </c:pt>
                <c:pt idx="10">
                  <c:v>0.0874880616775707</c:v>
                </c:pt>
                <c:pt idx="11">
                  <c:v>0.0874880616775707</c:v>
                </c:pt>
                <c:pt idx="12">
                  <c:v>0.279949811663732</c:v>
                </c:pt>
                <c:pt idx="13">
                  <c:v>0.28371951308717697</c:v>
                </c:pt>
                <c:pt idx="14">
                  <c:v>0.6154832182750604</c:v>
                </c:pt>
                <c:pt idx="15">
                  <c:v>0.7936219376736474</c:v>
                </c:pt>
                <c:pt idx="16">
                  <c:v>0.829868267208281</c:v>
                </c:pt>
                <c:pt idx="17">
                  <c:v>0.8553689443254001</c:v>
                </c:pt>
                <c:pt idx="18">
                  <c:v>0.8555093531256389</c:v>
                </c:pt>
                <c:pt idx="19">
                  <c:v>0.8738356394014654</c:v>
                </c:pt>
                <c:pt idx="20">
                  <c:v>0.848904891617873</c:v>
                </c:pt>
                <c:pt idx="21">
                  <c:v>0.6895048394083196</c:v>
                </c:pt>
                <c:pt idx="22">
                  <c:v>0.690444648960926</c:v>
                </c:pt>
                <c:pt idx="23">
                  <c:v>0.6506944024097218</c:v>
                </c:pt>
                <c:pt idx="24">
                  <c:v>0.6329023101489939</c:v>
                </c:pt>
                <c:pt idx="25">
                  <c:v>0.5346361766968519</c:v>
                </c:pt>
                <c:pt idx="26">
                  <c:v>0.4660787721425787</c:v>
                </c:pt>
              </c:numCache>
            </c:numRef>
          </c:val>
        </c:ser>
        <c:overlap val="100"/>
        <c:axId val="18229838"/>
        <c:axId val="29850815"/>
      </c:barChart>
      <c:catAx>
        <c:axId val="18229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(Effective) Grant Period of Performace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50815"/>
        <c:crosses val="autoZero"/>
        <c:auto val="1"/>
        <c:lblOffset val="100"/>
        <c:noMultiLvlLbl val="0"/>
      </c:catAx>
      <c:valAx>
        <c:axId val="2985081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Percent of Grant Award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1822983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5725"/>
          <c:y val="0.09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05 UASI Spending and Obligation Trends - Grant Award $77,500,000
Grant End Date: March 31,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63"/>
          <c:w val="0.95425"/>
          <c:h val="0.7885"/>
        </c:manualLayout>
      </c:layout>
      <c:barChart>
        <c:barDir val="col"/>
        <c:grouping val="stacked"/>
        <c:varyColors val="0"/>
        <c:ser>
          <c:idx val="0"/>
          <c:order val="0"/>
          <c:tx>
            <c:v>Percent Expended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'[1]05 UASI Trend Data'!$A$2:$A$26</c:f>
              <c:strCache>
                <c:ptCount val="25"/>
                <c:pt idx="0">
                  <c:v>3/05</c:v>
                </c:pt>
                <c:pt idx="1">
                  <c:v>4/05</c:v>
                </c:pt>
                <c:pt idx="2">
                  <c:v>5/05</c:v>
                </c:pt>
                <c:pt idx="3">
                  <c:v>6/05</c:v>
                </c:pt>
                <c:pt idx="4">
                  <c:v>7/05</c:v>
                </c:pt>
                <c:pt idx="5">
                  <c:v>8/05</c:v>
                </c:pt>
                <c:pt idx="6">
                  <c:v>9/05</c:v>
                </c:pt>
                <c:pt idx="7">
                  <c:v>10/05</c:v>
                </c:pt>
                <c:pt idx="8">
                  <c:v>11/05</c:v>
                </c:pt>
                <c:pt idx="9">
                  <c:v>12/05</c:v>
                </c:pt>
                <c:pt idx="10">
                  <c:v>1/06</c:v>
                </c:pt>
                <c:pt idx="11">
                  <c:v>2/06</c:v>
                </c:pt>
                <c:pt idx="12">
                  <c:v>3/06</c:v>
                </c:pt>
                <c:pt idx="13">
                  <c:v>4/06</c:v>
                </c:pt>
                <c:pt idx="14">
                  <c:v>5/06</c:v>
                </c:pt>
                <c:pt idx="15">
                  <c:v>6/06</c:v>
                </c:pt>
                <c:pt idx="16">
                  <c:v>7/06</c:v>
                </c:pt>
                <c:pt idx="17">
                  <c:v>8/06</c:v>
                </c:pt>
                <c:pt idx="18">
                  <c:v>9/06</c:v>
                </c:pt>
                <c:pt idx="19">
                  <c:v>10/06</c:v>
                </c:pt>
                <c:pt idx="20">
                  <c:v>11/06</c:v>
                </c:pt>
                <c:pt idx="21">
                  <c:v>12/06</c:v>
                </c:pt>
                <c:pt idx="22">
                  <c:v>1/07</c:v>
                </c:pt>
                <c:pt idx="23">
                  <c:v>2/07</c:v>
                </c:pt>
                <c:pt idx="24">
                  <c:v>3/07</c:v>
                </c:pt>
              </c:strCache>
            </c:strRef>
          </c:cat>
          <c:val>
            <c:numRef>
              <c:f>'[1]05 UASI Trend Data'!$I$2:$I$26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0.0014096557419354839</c:v>
                </c:pt>
                <c:pt idx="5">
                  <c:v>0.004922220129032258</c:v>
                </c:pt>
                <c:pt idx="6">
                  <c:v>0.008031711612903227</c:v>
                </c:pt>
                <c:pt idx="7">
                  <c:v>0.00803040735483871</c:v>
                </c:pt>
                <c:pt idx="8">
                  <c:v>0.012658763096774195</c:v>
                </c:pt>
                <c:pt idx="9">
                  <c:v>0.01862230258064516</c:v>
                </c:pt>
                <c:pt idx="10">
                  <c:v>0.036116088</c:v>
                </c:pt>
                <c:pt idx="11">
                  <c:v>0.04330246993548387</c:v>
                </c:pt>
                <c:pt idx="12">
                  <c:v>0.04330246993548387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v>Percent Obligated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'[1]05 UASI Trend Data'!$A$2:$A$26</c:f>
              <c:strCache>
                <c:ptCount val="25"/>
                <c:pt idx="0">
                  <c:v>3/05</c:v>
                </c:pt>
                <c:pt idx="1">
                  <c:v>4/05</c:v>
                </c:pt>
                <c:pt idx="2">
                  <c:v>5/05</c:v>
                </c:pt>
                <c:pt idx="3">
                  <c:v>6/05</c:v>
                </c:pt>
                <c:pt idx="4">
                  <c:v>7/05</c:v>
                </c:pt>
                <c:pt idx="5">
                  <c:v>8/05</c:v>
                </c:pt>
                <c:pt idx="6">
                  <c:v>9/05</c:v>
                </c:pt>
                <c:pt idx="7">
                  <c:v>10/05</c:v>
                </c:pt>
                <c:pt idx="8">
                  <c:v>11/05</c:v>
                </c:pt>
                <c:pt idx="9">
                  <c:v>12/05</c:v>
                </c:pt>
                <c:pt idx="10">
                  <c:v>1/06</c:v>
                </c:pt>
                <c:pt idx="11">
                  <c:v>2/06</c:v>
                </c:pt>
                <c:pt idx="12">
                  <c:v>3/06</c:v>
                </c:pt>
                <c:pt idx="13">
                  <c:v>4/06</c:v>
                </c:pt>
                <c:pt idx="14">
                  <c:v>5/06</c:v>
                </c:pt>
                <c:pt idx="15">
                  <c:v>6/06</c:v>
                </c:pt>
                <c:pt idx="16">
                  <c:v>7/06</c:v>
                </c:pt>
                <c:pt idx="17">
                  <c:v>8/06</c:v>
                </c:pt>
                <c:pt idx="18">
                  <c:v>9/06</c:v>
                </c:pt>
                <c:pt idx="19">
                  <c:v>10/06</c:v>
                </c:pt>
                <c:pt idx="20">
                  <c:v>11/06</c:v>
                </c:pt>
                <c:pt idx="21">
                  <c:v>12/06</c:v>
                </c:pt>
                <c:pt idx="22">
                  <c:v>1/07</c:v>
                </c:pt>
                <c:pt idx="23">
                  <c:v>2/07</c:v>
                </c:pt>
                <c:pt idx="24">
                  <c:v>3/07</c:v>
                </c:pt>
              </c:strCache>
            </c:strRef>
          </c:cat>
          <c:val>
            <c:numRef>
              <c:f>'[1]05 UASI Trend Data'!$J$2:$J$26</c:f>
              <c:numCache>
                <c:ptCount val="25"/>
                <c:pt idx="0">
                  <c:v>0</c:v>
                </c:pt>
                <c:pt idx="1">
                  <c:v>0.7778415996129032</c:v>
                </c:pt>
                <c:pt idx="2">
                  <c:v>0.8006493802580645</c:v>
                </c:pt>
                <c:pt idx="3">
                  <c:v>0.8456171221935483</c:v>
                </c:pt>
                <c:pt idx="4">
                  <c:v>0.8456798954838709</c:v>
                </c:pt>
                <c:pt idx="5">
                  <c:v>0.8424827670967742</c:v>
                </c:pt>
                <c:pt idx="6">
                  <c:v>0.8541288696774193</c:v>
                </c:pt>
                <c:pt idx="7">
                  <c:v>0.8628078495483871</c:v>
                </c:pt>
                <c:pt idx="8">
                  <c:v>0.9115500655483869</c:v>
                </c:pt>
                <c:pt idx="9">
                  <c:v>0.9187679259354837</c:v>
                </c:pt>
                <c:pt idx="10">
                  <c:v>0.9058250274838707</c:v>
                </c:pt>
                <c:pt idx="11">
                  <c:v>0.8989713843870965</c:v>
                </c:pt>
                <c:pt idx="12">
                  <c:v>0.9005220940645158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overlap val="100"/>
        <c:axId val="221880"/>
        <c:axId val="1996921"/>
      </c:barChart>
      <c:catAx>
        <c:axId val="221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(Effective) Grant Period of Performance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6921"/>
        <c:crosses val="autoZero"/>
        <c:auto val="1"/>
        <c:lblOffset val="100"/>
        <c:noMultiLvlLbl val="0"/>
      </c:catAx>
      <c:valAx>
        <c:axId val="199692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Percent of Grant Award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221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3"/>
          <c:y val="0.09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25" right="0.25" top="0.5" bottom="0.5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25" right="0.25" top="0.5" bottom="0.5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25" right="0.25" top="0.5" bottom="0.5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25" right="0.25" top="0.5" bottom="0.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44025" cy="6848475"/>
    <xdr:graphicFrame>
      <xdr:nvGraphicFramePr>
        <xdr:cNvPr id="1" name="Shape 1025"/>
        <xdr:cNvGraphicFramePr/>
      </xdr:nvGraphicFramePr>
      <xdr:xfrm>
        <a:off x="0" y="0"/>
        <a:ext cx="934402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44025" cy="6848475"/>
    <xdr:graphicFrame>
      <xdr:nvGraphicFramePr>
        <xdr:cNvPr id="1" name="Shape 1025"/>
        <xdr:cNvGraphicFramePr/>
      </xdr:nvGraphicFramePr>
      <xdr:xfrm>
        <a:off x="0" y="0"/>
        <a:ext cx="934402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44025" cy="6848475"/>
    <xdr:graphicFrame>
      <xdr:nvGraphicFramePr>
        <xdr:cNvPr id="1" name="Shape 1025"/>
        <xdr:cNvGraphicFramePr/>
      </xdr:nvGraphicFramePr>
      <xdr:xfrm>
        <a:off x="0" y="0"/>
        <a:ext cx="934402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44025" cy="6848475"/>
    <xdr:graphicFrame>
      <xdr:nvGraphicFramePr>
        <xdr:cNvPr id="1" name="Shape 1025"/>
        <xdr:cNvGraphicFramePr/>
      </xdr:nvGraphicFramePr>
      <xdr:xfrm>
        <a:off x="0" y="0"/>
        <a:ext cx="934402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grier\Local%20Settings\Temporary%20Internet%20Files\OLK1\Spending%20and%20Obligation%20Trend%20Analysis%20-%20UASI%203.6.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 UASI I Trend"/>
      <sheetName val="03 UASI I Trend Data"/>
      <sheetName val="03 UASI II Trend"/>
      <sheetName val="03 UASI II Trend Data"/>
      <sheetName val="04 UASI Trend"/>
      <sheetName val="04 UASI Trend Data"/>
      <sheetName val="05 UASI Trend"/>
      <sheetName val="05 UASI Trend Data"/>
    </sheetNames>
    <sheetDataSet>
      <sheetData sheetId="1">
        <row r="2">
          <cell r="A2" t="str">
            <v>12/03</v>
          </cell>
          <cell r="I2">
            <v>0</v>
          </cell>
          <cell r="J2">
            <v>0</v>
          </cell>
        </row>
        <row r="3">
          <cell r="A3" t="str">
            <v>1/04</v>
          </cell>
          <cell r="I3">
            <v>0</v>
          </cell>
          <cell r="J3">
            <v>0</v>
          </cell>
        </row>
        <row r="4">
          <cell r="A4" t="str">
            <v>2/04</v>
          </cell>
          <cell r="I4">
            <v>0</v>
          </cell>
          <cell r="J4">
            <v>0.060510978375089876</v>
          </cell>
        </row>
        <row r="5">
          <cell r="A5" t="str">
            <v>3/04</v>
          </cell>
          <cell r="I5">
            <v>0.005027633427354681</v>
          </cell>
          <cell r="J5">
            <v>0.30247502903600465</v>
          </cell>
        </row>
        <row r="6">
          <cell r="A6" t="str">
            <v>4/04</v>
          </cell>
          <cell r="I6">
            <v>0.005765922238814225</v>
          </cell>
          <cell r="J6">
            <v>0.3017367402245451</v>
          </cell>
        </row>
        <row r="7">
          <cell r="A7" t="str">
            <v>5/04</v>
          </cell>
          <cell r="I7">
            <v>0.013456465350367788</v>
          </cell>
          <cell r="J7">
            <v>0.2954288640008849</v>
          </cell>
        </row>
        <row r="8">
          <cell r="A8" t="str">
            <v>6/04</v>
          </cell>
          <cell r="I8">
            <v>0.023621324041811845</v>
          </cell>
          <cell r="J8">
            <v>0.28794923234334385</v>
          </cell>
        </row>
        <row r="9">
          <cell r="A9" t="str">
            <v>7/04</v>
          </cell>
          <cell r="I9">
            <v>0.024397285548365684</v>
          </cell>
          <cell r="J9">
            <v>0.2878435412864333</v>
          </cell>
        </row>
        <row r="10">
          <cell r="A10" t="str">
            <v>8/04</v>
          </cell>
          <cell r="I10">
            <v>0.05843653669597921</v>
          </cell>
          <cell r="J10">
            <v>0.26884355677230243</v>
          </cell>
        </row>
        <row r="11">
          <cell r="A11" t="str">
            <v>9/04</v>
          </cell>
          <cell r="I11">
            <v>0.12049475582102759</v>
          </cell>
          <cell r="J11">
            <v>0.34139263591615515</v>
          </cell>
        </row>
        <row r="12">
          <cell r="A12" t="str">
            <v>10/04</v>
          </cell>
          <cell r="I12">
            <v>0.09633407112438469</v>
          </cell>
          <cell r="J12">
            <v>0.3631563547370168</v>
          </cell>
        </row>
        <row r="13">
          <cell r="A13" t="str">
            <v>11/04</v>
          </cell>
          <cell r="I13">
            <v>0.13214096841988826</v>
          </cell>
          <cell r="J13">
            <v>0.3363526707593607</v>
          </cell>
        </row>
        <row r="14">
          <cell r="A14" t="str">
            <v>12/04</v>
          </cell>
          <cell r="I14">
            <v>0.14854541120513243</v>
          </cell>
          <cell r="J14">
            <v>0.401021093412975</v>
          </cell>
        </row>
        <row r="15">
          <cell r="A15" t="str">
            <v>1/05</v>
          </cell>
          <cell r="I15">
            <v>0.19518705657872903</v>
          </cell>
          <cell r="J15">
            <v>0.35607775012444004</v>
          </cell>
        </row>
        <row r="16">
          <cell r="A16" t="str">
            <v>2/05</v>
          </cell>
          <cell r="I16">
            <v>0.3008178966871301</v>
          </cell>
          <cell r="J16">
            <v>0.2674648365687739</v>
          </cell>
        </row>
        <row r="17">
          <cell r="A17" t="str">
            <v>3/05</v>
          </cell>
          <cell r="I17">
            <v>0.3139605414523533</v>
          </cell>
          <cell r="J17">
            <v>0.6238077379569714</v>
          </cell>
        </row>
        <row r="18">
          <cell r="A18" t="str">
            <v>4/05</v>
          </cell>
          <cell r="I18">
            <v>0.33274914606493</v>
          </cell>
          <cell r="J18">
            <v>0.6050191333443947</v>
          </cell>
        </row>
        <row r="19">
          <cell r="A19" t="str">
            <v>5/05</v>
          </cell>
          <cell r="I19">
            <v>0.47900301642608256</v>
          </cell>
          <cell r="J19">
            <v>0.4587652629832421</v>
          </cell>
        </row>
        <row r="20">
          <cell r="A20" t="str">
            <v>6/05</v>
          </cell>
          <cell r="I20">
            <v>0.63620933355456</v>
          </cell>
          <cell r="J20">
            <v>0.3015589458547647</v>
          </cell>
        </row>
        <row r="21">
          <cell r="A21" t="str">
            <v>7/05</v>
          </cell>
          <cell r="I21">
            <v>0.671817747912173</v>
          </cell>
          <cell r="J21">
            <v>0.2709834389690836</v>
          </cell>
        </row>
        <row r="22">
          <cell r="A22" t="str">
            <v>8/05</v>
          </cell>
          <cell r="I22">
            <v>0.7565676328742879</v>
          </cell>
          <cell r="J22">
            <v>0.24047391681876007</v>
          </cell>
        </row>
        <row r="23">
          <cell r="A23" t="str">
            <v>9/05</v>
          </cell>
          <cell r="I23">
            <v>0.8223891615507991</v>
          </cell>
          <cell r="J23">
            <v>0.1624176384049555</v>
          </cell>
        </row>
        <row r="24">
          <cell r="A24" t="str">
            <v>10/05</v>
          </cell>
          <cell r="I24">
            <v>0.8223891615507991</v>
          </cell>
          <cell r="J24">
            <v>0.15613336209280462</v>
          </cell>
        </row>
        <row r="25">
          <cell r="A25" t="str">
            <v>11/05</v>
          </cell>
          <cell r="I25">
            <v>0.840863363198938</v>
          </cell>
          <cell r="J25">
            <v>0.15611519219069744</v>
          </cell>
        </row>
        <row r="26">
          <cell r="A26" t="str">
            <v>12/05</v>
          </cell>
          <cell r="I26">
            <v>0.9218045561639288</v>
          </cell>
          <cell r="J26">
            <v>0.07888999944693327</v>
          </cell>
        </row>
        <row r="27">
          <cell r="A27" t="str">
            <v>1/06</v>
          </cell>
          <cell r="I27">
            <v>0.9365593855428348</v>
          </cell>
          <cell r="J27">
            <v>0.06413517006802724</v>
          </cell>
        </row>
        <row r="28">
          <cell r="A28" t="str">
            <v>2/06</v>
          </cell>
          <cell r="I28">
            <v>0.991669305901222</v>
          </cell>
          <cell r="J28">
            <v>0.009025249709639981</v>
          </cell>
        </row>
      </sheetData>
      <sheetData sheetId="3">
        <row r="2">
          <cell r="A2" t="str">
            <v>12/03</v>
          </cell>
          <cell r="I2">
            <v>0</v>
          </cell>
          <cell r="J2">
            <v>0</v>
          </cell>
        </row>
        <row r="3">
          <cell r="A3" t="str">
            <v>1/04</v>
          </cell>
          <cell r="I3">
            <v>0</v>
          </cell>
          <cell r="J3">
            <v>0</v>
          </cell>
        </row>
        <row r="4">
          <cell r="A4" t="str">
            <v>2/04</v>
          </cell>
          <cell r="I4">
            <v>0</v>
          </cell>
          <cell r="J4">
            <v>0</v>
          </cell>
        </row>
        <row r="5">
          <cell r="A5" t="str">
            <v>3/04</v>
          </cell>
          <cell r="I5">
            <v>0.003391211159878869</v>
          </cell>
          <cell r="J5">
            <v>0.04323349308631148</v>
          </cell>
        </row>
        <row r="6">
          <cell r="A6" t="str">
            <v>4/04</v>
          </cell>
          <cell r="I6">
            <v>0.003391211159878869</v>
          </cell>
          <cell r="J6">
            <v>0.04323349308631148</v>
          </cell>
        </row>
        <row r="7">
          <cell r="A7" t="str">
            <v>5/04</v>
          </cell>
          <cell r="I7">
            <v>0.003391211159878869</v>
          </cell>
          <cell r="J7">
            <v>0.04382297876972027</v>
          </cell>
        </row>
        <row r="8">
          <cell r="A8" t="str">
            <v>6/04</v>
          </cell>
          <cell r="I8">
            <v>0.004218803079501505</v>
          </cell>
          <cell r="J8">
            <v>0.08350131576741451</v>
          </cell>
        </row>
        <row r="9">
          <cell r="A9" t="str">
            <v>7/04</v>
          </cell>
          <cell r="I9">
            <v>0.004384573763298531</v>
          </cell>
          <cell r="J9">
            <v>0.15698633673577397</v>
          </cell>
        </row>
        <row r="10">
          <cell r="A10" t="str">
            <v>8/04</v>
          </cell>
          <cell r="I10">
            <v>0.009786550063568957</v>
          </cell>
          <cell r="J10">
            <v>0.15217471407763258</v>
          </cell>
        </row>
        <row r="11">
          <cell r="A11" t="str">
            <v>9/04</v>
          </cell>
          <cell r="I11">
            <v>0.050663155124030024</v>
          </cell>
          <cell r="J11">
            <v>0.10494447457502268</v>
          </cell>
        </row>
        <row r="12">
          <cell r="A12" t="str">
            <v>10/04</v>
          </cell>
          <cell r="I12">
            <v>0.01156692061945702</v>
          </cell>
          <cell r="J12">
            <v>0.12049757967789136</v>
          </cell>
        </row>
        <row r="13">
          <cell r="A13" t="str">
            <v>11/04</v>
          </cell>
          <cell r="I13">
            <v>0.06295635228711366</v>
          </cell>
          <cell r="J13">
            <v>0.23564346288318722</v>
          </cell>
        </row>
        <row r="14">
          <cell r="A14" t="str">
            <v>12/04</v>
          </cell>
          <cell r="I14">
            <v>0.06723532912200045</v>
          </cell>
          <cell r="J14">
            <v>0.5665656535789291</v>
          </cell>
        </row>
        <row r="15">
          <cell r="A15" t="str">
            <v>1/05</v>
          </cell>
          <cell r="I15">
            <v>0.0780998624588424</v>
          </cell>
          <cell r="J15">
            <v>0.6406119538123347</v>
          </cell>
        </row>
        <row r="16">
          <cell r="A16" t="str">
            <v>2/05</v>
          </cell>
          <cell r="I16">
            <v>0.13669709662502705</v>
          </cell>
          <cell r="J16">
            <v>0.5937752657985051</v>
          </cell>
        </row>
        <row r="17">
          <cell r="A17" t="str">
            <v>3/05</v>
          </cell>
          <cell r="I17">
            <v>0.15896838991488085</v>
          </cell>
          <cell r="J17">
            <v>0.6762463801157895</v>
          </cell>
        </row>
        <row r="18">
          <cell r="A18" t="str">
            <v>4/05</v>
          </cell>
          <cell r="I18">
            <v>0.2623373430385313</v>
          </cell>
          <cell r="J18">
            <v>0.5824334063328822</v>
          </cell>
        </row>
        <row r="19">
          <cell r="A19" t="str">
            <v>5/05</v>
          </cell>
          <cell r="I19">
            <v>0.43686196846105396</v>
          </cell>
          <cell r="J19">
            <v>0.5500575123454217</v>
          </cell>
        </row>
        <row r="20">
          <cell r="A20" t="str">
            <v>6/05</v>
          </cell>
          <cell r="I20">
            <v>0.44604164985158756</v>
          </cell>
          <cell r="J20">
            <v>0.5482294745624074</v>
          </cell>
        </row>
        <row r="21">
          <cell r="A21" t="str">
            <v>7/05</v>
          </cell>
          <cell r="I21">
            <v>0.45152094875315646</v>
          </cell>
          <cell r="J21">
            <v>0.5419108272745403</v>
          </cell>
        </row>
        <row r="22">
          <cell r="A22" t="str">
            <v>8/05</v>
          </cell>
          <cell r="I22">
            <v>0.6515390539806424</v>
          </cell>
          <cell r="J22">
            <v>0.34612511512950117</v>
          </cell>
        </row>
        <row r="23">
          <cell r="A23" t="str">
            <v>9/05</v>
          </cell>
          <cell r="I23">
            <v>0.677620205975258</v>
          </cell>
          <cell r="J23">
            <v>0.32362753832829994</v>
          </cell>
        </row>
        <row r="24">
          <cell r="A24" t="str">
            <v>10/05</v>
          </cell>
          <cell r="I24">
            <v>0.676806107854517</v>
          </cell>
          <cell r="J24">
            <v>0.3244416364490408</v>
          </cell>
        </row>
        <row r="25">
          <cell r="A25" t="str">
            <v>11/05</v>
          </cell>
          <cell r="I25">
            <v>0.8326857073843528</v>
          </cell>
          <cell r="J25">
            <v>0.16856203691920515</v>
          </cell>
        </row>
        <row r="26">
          <cell r="A26" t="str">
            <v>12/05</v>
          </cell>
          <cell r="I26">
            <v>0.838844136471972</v>
          </cell>
          <cell r="J26">
            <v>0.16240360783158586</v>
          </cell>
        </row>
        <row r="27">
          <cell r="A27" t="str">
            <v>1/06</v>
          </cell>
          <cell r="I27">
            <v>0.8394167381064366</v>
          </cell>
          <cell r="J27">
            <v>0.16240360783158586</v>
          </cell>
        </row>
        <row r="28">
          <cell r="A28" t="str">
            <v>2/06</v>
          </cell>
          <cell r="I28">
            <v>0.8941066366868397</v>
          </cell>
          <cell r="J28">
            <v>0.16240360783158586</v>
          </cell>
        </row>
        <row r="29">
          <cell r="A29" t="str">
            <v>3/06</v>
          </cell>
        </row>
        <row r="30">
          <cell r="A30" t="str">
            <v>4/06</v>
          </cell>
        </row>
        <row r="31">
          <cell r="A31" t="str">
            <v>5/06</v>
          </cell>
        </row>
      </sheetData>
      <sheetData sheetId="5">
        <row r="2">
          <cell r="A2" t="str">
            <v>12/03</v>
          </cell>
          <cell r="I2">
            <v>0</v>
          </cell>
          <cell r="J2">
            <v>0</v>
          </cell>
        </row>
        <row r="3">
          <cell r="A3" t="str">
            <v>1/04</v>
          </cell>
          <cell r="I3">
            <v>0</v>
          </cell>
          <cell r="J3">
            <v>0</v>
          </cell>
        </row>
        <row r="4">
          <cell r="A4" t="str">
            <v>2/04</v>
          </cell>
          <cell r="I4">
            <v>0</v>
          </cell>
          <cell r="J4">
            <v>0</v>
          </cell>
        </row>
        <row r="5">
          <cell r="A5" t="str">
            <v>3/04</v>
          </cell>
          <cell r="I5">
            <v>0</v>
          </cell>
          <cell r="J5">
            <v>0</v>
          </cell>
        </row>
        <row r="6">
          <cell r="A6" t="str">
            <v>4/04</v>
          </cell>
          <cell r="I6">
            <v>0</v>
          </cell>
          <cell r="J6">
            <v>0</v>
          </cell>
        </row>
        <row r="7">
          <cell r="A7" t="str">
            <v>5/04</v>
          </cell>
          <cell r="I7">
            <v>0</v>
          </cell>
          <cell r="J7">
            <v>0</v>
          </cell>
        </row>
        <row r="8">
          <cell r="A8" t="str">
            <v>6/04</v>
          </cell>
          <cell r="I8">
            <v>0</v>
          </cell>
          <cell r="J8">
            <v>0.0874880616775707</v>
          </cell>
        </row>
        <row r="9">
          <cell r="A9" t="str">
            <v>7/04</v>
          </cell>
          <cell r="I9">
            <v>0</v>
          </cell>
          <cell r="J9">
            <v>0.0874880616775707</v>
          </cell>
        </row>
        <row r="10">
          <cell r="A10" t="str">
            <v>8/04</v>
          </cell>
          <cell r="I10">
            <v>0</v>
          </cell>
          <cell r="J10">
            <v>0.08783218860875011</v>
          </cell>
        </row>
        <row r="11">
          <cell r="A11" t="str">
            <v>9/04</v>
          </cell>
          <cell r="I11">
            <v>0.0003441269311794068</v>
          </cell>
          <cell r="J11">
            <v>0.0874880616775707</v>
          </cell>
        </row>
        <row r="12">
          <cell r="A12" t="str">
            <v>10/04</v>
          </cell>
          <cell r="I12">
            <v>0.0003441269311794068</v>
          </cell>
          <cell r="J12">
            <v>0.0874880616775707</v>
          </cell>
        </row>
        <row r="13">
          <cell r="A13" t="str">
            <v>11/04</v>
          </cell>
          <cell r="I13">
            <v>0.0004268301718087772</v>
          </cell>
          <cell r="J13">
            <v>0.0874880616775707</v>
          </cell>
        </row>
        <row r="14">
          <cell r="A14" t="str">
            <v>12/04</v>
          </cell>
          <cell r="I14">
            <v>0.0004268301718087772</v>
          </cell>
          <cell r="J14">
            <v>0.279949811663732</v>
          </cell>
        </row>
        <row r="15">
          <cell r="A15" t="str">
            <v>1/05</v>
          </cell>
          <cell r="I15">
            <v>0.0004268301718087772</v>
          </cell>
          <cell r="J15">
            <v>0.28371951308717697</v>
          </cell>
        </row>
        <row r="16">
          <cell r="A16" t="str">
            <v>2/05</v>
          </cell>
          <cell r="I16">
            <v>0.0004268301718087772</v>
          </cell>
          <cell r="J16">
            <v>0.6154832182750604</v>
          </cell>
        </row>
        <row r="17">
          <cell r="A17" t="str">
            <v>3/05</v>
          </cell>
          <cell r="I17">
            <v>0.0010973611056245376</v>
          </cell>
          <cell r="J17">
            <v>0.7936219376736474</v>
          </cell>
        </row>
        <row r="18">
          <cell r="A18" t="str">
            <v>4/05</v>
          </cell>
          <cell r="I18">
            <v>0.0019425891646662559</v>
          </cell>
          <cell r="J18">
            <v>0.829868267208281</v>
          </cell>
        </row>
        <row r="19">
          <cell r="A19" t="str">
            <v>5/05</v>
          </cell>
          <cell r="I19">
            <v>0.003698265559541775</v>
          </cell>
          <cell r="J19">
            <v>0.8553689443254001</v>
          </cell>
        </row>
        <row r="20">
          <cell r="A20" t="str">
            <v>6/05</v>
          </cell>
          <cell r="I20">
            <v>0.014415843986100718</v>
          </cell>
          <cell r="J20">
            <v>0.8555093531256389</v>
          </cell>
        </row>
        <row r="21">
          <cell r="A21" t="str">
            <v>7/05</v>
          </cell>
          <cell r="I21">
            <v>0.014943647609511387</v>
          </cell>
          <cell r="J21">
            <v>0.8738356394014654</v>
          </cell>
        </row>
        <row r="22">
          <cell r="A22" t="str">
            <v>8/05</v>
          </cell>
          <cell r="I22">
            <v>0.04421470782527099</v>
          </cell>
          <cell r="J22">
            <v>0.848904891617873</v>
          </cell>
        </row>
        <row r="23">
          <cell r="A23" t="str">
            <v>9/05</v>
          </cell>
          <cell r="I23">
            <v>0.23468375862796076</v>
          </cell>
          <cell r="J23">
            <v>0.6895048394083196</v>
          </cell>
        </row>
        <row r="24">
          <cell r="A24" t="str">
            <v>10/05</v>
          </cell>
          <cell r="I24">
            <v>0.23468375862796076</v>
          </cell>
          <cell r="J24">
            <v>0.690444648960926</v>
          </cell>
        </row>
        <row r="25">
          <cell r="A25" t="str">
            <v>11/05</v>
          </cell>
          <cell r="I25">
            <v>0.27539253636459926</v>
          </cell>
          <cell r="J25">
            <v>0.6506944024097218</v>
          </cell>
        </row>
        <row r="26">
          <cell r="A26" t="str">
            <v>12/05</v>
          </cell>
          <cell r="I26">
            <v>0.3030330182350308</v>
          </cell>
          <cell r="J26">
            <v>0.6329023101489939</v>
          </cell>
        </row>
        <row r="27">
          <cell r="A27" t="str">
            <v>1/06</v>
          </cell>
          <cell r="I27">
            <v>0.40713768720575544</v>
          </cell>
          <cell r="J27">
            <v>0.5346361766968519</v>
          </cell>
        </row>
        <row r="28">
          <cell r="A28" t="str">
            <v>2/06</v>
          </cell>
          <cell r="I28">
            <v>0.47841610168188003</v>
          </cell>
          <cell r="J28">
            <v>0.4660787721425787</v>
          </cell>
        </row>
        <row r="29">
          <cell r="A29" t="str">
            <v>3/06</v>
          </cell>
        </row>
        <row r="30">
          <cell r="A30" t="str">
            <v>4/06</v>
          </cell>
        </row>
        <row r="31">
          <cell r="A31" t="str">
            <v>5/06</v>
          </cell>
        </row>
      </sheetData>
      <sheetData sheetId="7">
        <row r="2">
          <cell r="A2" t="str">
            <v>3/05</v>
          </cell>
          <cell r="I2">
            <v>0</v>
          </cell>
          <cell r="J2">
            <v>0</v>
          </cell>
        </row>
        <row r="3">
          <cell r="A3" t="str">
            <v>4/05</v>
          </cell>
          <cell r="I3">
            <v>0</v>
          </cell>
          <cell r="J3">
            <v>0.7778415996129032</v>
          </cell>
        </row>
        <row r="4">
          <cell r="A4" t="str">
            <v>5/05</v>
          </cell>
          <cell r="I4">
            <v>0</v>
          </cell>
          <cell r="J4">
            <v>0.8006493802580645</v>
          </cell>
        </row>
        <row r="5">
          <cell r="A5" t="str">
            <v>6/05</v>
          </cell>
          <cell r="I5">
            <v>0</v>
          </cell>
          <cell r="J5">
            <v>0.8456171221935483</v>
          </cell>
        </row>
        <row r="6">
          <cell r="A6" t="str">
            <v>7/05</v>
          </cell>
          <cell r="I6">
            <v>0.0014096557419354839</v>
          </cell>
          <cell r="J6">
            <v>0.8456798954838709</v>
          </cell>
        </row>
        <row r="7">
          <cell r="A7" t="str">
            <v>8/05</v>
          </cell>
          <cell r="I7">
            <v>0.004922220129032258</v>
          </cell>
          <cell r="J7">
            <v>0.8424827670967742</v>
          </cell>
        </row>
        <row r="8">
          <cell r="A8" t="str">
            <v>9/05</v>
          </cell>
          <cell r="I8">
            <v>0.008031711612903227</v>
          </cell>
          <cell r="J8">
            <v>0.8541288696774193</v>
          </cell>
        </row>
        <row r="9">
          <cell r="A9" t="str">
            <v>10/05</v>
          </cell>
          <cell r="I9">
            <v>0.00803040735483871</v>
          </cell>
          <cell r="J9">
            <v>0.8628078495483871</v>
          </cell>
        </row>
        <row r="10">
          <cell r="A10" t="str">
            <v>11/05</v>
          </cell>
          <cell r="I10">
            <v>0.012658763096774195</v>
          </cell>
          <cell r="J10">
            <v>0.9115500655483869</v>
          </cell>
        </row>
        <row r="11">
          <cell r="A11" t="str">
            <v>12/05</v>
          </cell>
          <cell r="I11">
            <v>0.01862230258064516</v>
          </cell>
          <cell r="J11">
            <v>0.9187679259354837</v>
          </cell>
        </row>
        <row r="12">
          <cell r="A12" t="str">
            <v>1/06</v>
          </cell>
          <cell r="I12">
            <v>0.036116088</v>
          </cell>
          <cell r="J12">
            <v>0.9058250274838707</v>
          </cell>
        </row>
        <row r="13">
          <cell r="A13" t="str">
            <v>2/06</v>
          </cell>
          <cell r="I13">
            <v>0.04330246993548387</v>
          </cell>
          <cell r="J13">
            <v>0.8989713843870965</v>
          </cell>
        </row>
        <row r="14">
          <cell r="A14" t="str">
            <v>3/06</v>
          </cell>
          <cell r="I14">
            <v>0.04330246993548387</v>
          </cell>
          <cell r="J14">
            <v>0.9005220940645158</v>
          </cell>
        </row>
        <row r="15">
          <cell r="A15" t="str">
            <v>4/06</v>
          </cell>
          <cell r="I15">
            <v>0</v>
          </cell>
          <cell r="J15">
            <v>0</v>
          </cell>
        </row>
        <row r="16">
          <cell r="A16" t="str">
            <v>5/06</v>
          </cell>
          <cell r="I16">
            <v>0</v>
          </cell>
          <cell r="J16">
            <v>0</v>
          </cell>
        </row>
        <row r="17">
          <cell r="A17" t="str">
            <v>6/06</v>
          </cell>
          <cell r="I17">
            <v>0</v>
          </cell>
          <cell r="J17">
            <v>0</v>
          </cell>
        </row>
        <row r="18">
          <cell r="A18" t="str">
            <v>7/06</v>
          </cell>
          <cell r="I18">
            <v>0</v>
          </cell>
          <cell r="J18">
            <v>0</v>
          </cell>
        </row>
        <row r="19">
          <cell r="A19" t="str">
            <v>8/06</v>
          </cell>
          <cell r="I19">
            <v>0</v>
          </cell>
          <cell r="J19">
            <v>0</v>
          </cell>
        </row>
        <row r="20">
          <cell r="A20" t="str">
            <v>9/06</v>
          </cell>
          <cell r="I20">
            <v>0</v>
          </cell>
          <cell r="J20">
            <v>0</v>
          </cell>
        </row>
        <row r="21">
          <cell r="A21" t="str">
            <v>10/06</v>
          </cell>
          <cell r="I21">
            <v>0</v>
          </cell>
          <cell r="J21">
            <v>0</v>
          </cell>
        </row>
        <row r="22">
          <cell r="A22" t="str">
            <v>11/06</v>
          </cell>
          <cell r="I22">
            <v>0</v>
          </cell>
          <cell r="J22">
            <v>0</v>
          </cell>
        </row>
        <row r="23">
          <cell r="A23" t="str">
            <v>12/06</v>
          </cell>
          <cell r="I23">
            <v>0</v>
          </cell>
          <cell r="J23">
            <v>0</v>
          </cell>
        </row>
        <row r="24">
          <cell r="A24" t="str">
            <v>1/07</v>
          </cell>
          <cell r="I24">
            <v>0</v>
          </cell>
          <cell r="J24">
            <v>0</v>
          </cell>
        </row>
        <row r="25">
          <cell r="A25" t="str">
            <v>2/07</v>
          </cell>
          <cell r="I25">
            <v>0</v>
          </cell>
          <cell r="J25">
            <v>0</v>
          </cell>
        </row>
        <row r="26">
          <cell r="A26" t="str">
            <v>3/07</v>
          </cell>
          <cell r="I26">
            <v>0</v>
          </cell>
          <cell r="J2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18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25.8515625" style="54" customWidth="1"/>
    <col min="2" max="2" width="14.28125" style="54" customWidth="1"/>
    <col min="3" max="3" width="17.140625" style="55" customWidth="1"/>
    <col min="4" max="4" width="9.421875" style="56" customWidth="1"/>
    <col min="5" max="5" width="12.7109375" style="77" customWidth="1"/>
    <col min="6" max="6" width="13.00390625" style="77" customWidth="1"/>
    <col min="7" max="7" width="12.140625" style="77" customWidth="1"/>
    <col min="8" max="8" width="12.140625" style="78" customWidth="1"/>
    <col min="9" max="9" width="1.57421875" style="55" customWidth="1"/>
    <col min="10" max="10" width="13.28125" style="79" customWidth="1"/>
    <col min="11" max="11" width="11.00390625" style="79" customWidth="1"/>
    <col min="12" max="16384" width="9.140625" style="55" customWidth="1"/>
  </cols>
  <sheetData>
    <row r="1" spans="5:11" ht="15" customHeight="1">
      <c r="E1" s="186" t="s">
        <v>518</v>
      </c>
      <c r="F1" s="186"/>
      <c r="G1" s="186"/>
      <c r="H1" s="186"/>
      <c r="I1" s="186"/>
      <c r="J1" s="186"/>
      <c r="K1" s="186"/>
    </row>
    <row r="2" spans="1:11" s="61" customFormat="1" ht="51">
      <c r="A2" s="57" t="s">
        <v>62</v>
      </c>
      <c r="B2" s="57" t="s">
        <v>76</v>
      </c>
      <c r="C2" s="57" t="s">
        <v>63</v>
      </c>
      <c r="D2" s="58" t="s">
        <v>69</v>
      </c>
      <c r="E2" s="58" t="s">
        <v>332</v>
      </c>
      <c r="F2" s="58" t="s">
        <v>331</v>
      </c>
      <c r="G2" s="58" t="s">
        <v>333</v>
      </c>
      <c r="H2" s="59" t="s">
        <v>334</v>
      </c>
      <c r="I2" s="60"/>
      <c r="J2" s="58" t="s">
        <v>335</v>
      </c>
      <c r="K2" s="58" t="s">
        <v>336</v>
      </c>
    </row>
    <row r="3" spans="1:11" ht="25.5">
      <c r="A3" s="62" t="s">
        <v>70</v>
      </c>
      <c r="B3" s="63">
        <v>37985</v>
      </c>
      <c r="C3" s="64" t="s">
        <v>226</v>
      </c>
      <c r="D3" s="65">
        <f>18081000/1000000</f>
        <v>18.081</v>
      </c>
      <c r="E3" s="66">
        <f>'03 UASI I'!G20/1000000</f>
        <v>17.930372719999998</v>
      </c>
      <c r="F3" s="66">
        <f>'03 UASI I'!H20/1000000</f>
        <v>0.15062769999999995</v>
      </c>
      <c r="G3" s="66">
        <f>+D3-E3-F3</f>
        <v>-4.199999980303293E-07</v>
      </c>
      <c r="H3" s="67">
        <f>G3/D3</f>
        <v>-2.3228803607672655E-08</v>
      </c>
      <c r="I3" s="68"/>
      <c r="J3" s="69">
        <v>16.9</v>
      </c>
      <c r="K3" s="69">
        <f aca="true" t="shared" si="0" ref="K3:K9">E3-J3</f>
        <v>1.030372719999999</v>
      </c>
    </row>
    <row r="4" spans="1:11" ht="25.5">
      <c r="A4" s="62" t="s">
        <v>71</v>
      </c>
      <c r="B4" s="63">
        <v>37985</v>
      </c>
      <c r="C4" s="64" t="s">
        <v>383</v>
      </c>
      <c r="D4" s="65">
        <f>42409851/1000000</f>
        <v>42.409851</v>
      </c>
      <c r="E4" s="66">
        <f>'03 UASI II'!F26/1000000</f>
        <v>37.883959950000005</v>
      </c>
      <c r="F4" s="66">
        <f>'03 UASI II'!G26/1000000</f>
        <v>4.60589118</v>
      </c>
      <c r="G4" s="66">
        <f>+D4-E4-F4</f>
        <v>-0.08000013000000195</v>
      </c>
      <c r="H4" s="67">
        <f>G4/D4</f>
        <v>-0.0018863572522337308</v>
      </c>
      <c r="I4" s="68"/>
      <c r="J4" s="69">
        <v>36.6</v>
      </c>
      <c r="K4" s="69">
        <f t="shared" si="0"/>
        <v>1.2839599500000034</v>
      </c>
    </row>
    <row r="5" spans="1:11" ht="25.5">
      <c r="A5" s="62" t="s">
        <v>72</v>
      </c>
      <c r="B5" s="63">
        <v>38075</v>
      </c>
      <c r="C5" s="64" t="s">
        <v>384</v>
      </c>
      <c r="D5" s="65">
        <f>31921361/1000000</f>
        <v>31.921361</v>
      </c>
      <c r="E5" s="66">
        <f>'04 UASI'!F46/1000000</f>
        <v>15.27169357</v>
      </c>
      <c r="F5" s="66">
        <f>'04 UASI'!G46/1000000</f>
        <v>15.13065294</v>
      </c>
      <c r="G5" s="66">
        <f>+D5-E5-F5</f>
        <v>1.5190144900000018</v>
      </c>
      <c r="H5" s="67">
        <f>G5/D5</f>
        <v>0.04758614427498883</v>
      </c>
      <c r="I5" s="68"/>
      <c r="J5" s="69">
        <v>12.9</v>
      </c>
      <c r="K5" s="69">
        <f t="shared" si="0"/>
        <v>2.3716935699999997</v>
      </c>
    </row>
    <row r="6" spans="1:11" ht="25.5">
      <c r="A6" s="62" t="s">
        <v>73</v>
      </c>
      <c r="B6" s="63">
        <v>38412</v>
      </c>
      <c r="C6" s="64" t="s">
        <v>74</v>
      </c>
      <c r="D6" s="70"/>
      <c r="E6" s="66"/>
      <c r="F6" s="71"/>
      <c r="G6" s="66"/>
      <c r="H6" s="67"/>
      <c r="I6" s="68"/>
      <c r="J6" s="69"/>
      <c r="K6" s="69">
        <f t="shared" si="0"/>
        <v>0</v>
      </c>
    </row>
    <row r="7" spans="1:11" ht="12.75">
      <c r="A7" s="62"/>
      <c r="B7" s="189" t="s">
        <v>385</v>
      </c>
      <c r="C7" s="190"/>
      <c r="D7" s="65">
        <v>77.5</v>
      </c>
      <c r="E7" s="66">
        <f>'05 UASI'!F71/1000000</f>
        <v>3.1441251800000005</v>
      </c>
      <c r="F7" s="66">
        <f>'05 UASI'!G71/1000000</f>
        <v>71.60071667</v>
      </c>
      <c r="G7" s="71">
        <f>+D7-E7-F7</f>
        <v>2.7551581499999998</v>
      </c>
      <c r="H7" s="67">
        <f>G7/D7</f>
        <v>0.03555042774193548</v>
      </c>
      <c r="I7" s="68"/>
      <c r="J7" s="69">
        <v>3.8</v>
      </c>
      <c r="K7" s="69">
        <f t="shared" si="0"/>
        <v>-0.6558748199999993</v>
      </c>
    </row>
    <row r="8" spans="1:11" ht="12.75">
      <c r="A8" s="62"/>
      <c r="B8" s="189" t="s">
        <v>386</v>
      </c>
      <c r="C8" s="190"/>
      <c r="D8" s="65">
        <v>4.5</v>
      </c>
      <c r="E8" s="66">
        <v>0</v>
      </c>
      <c r="F8" s="66">
        <f>'05 UASI - NonProfitAllocation'!G37/1000000</f>
        <v>2.94249645</v>
      </c>
      <c r="G8" s="71">
        <f>+D8-E8-F8</f>
        <v>1.5575035499999998</v>
      </c>
      <c r="H8" s="67">
        <f>G8/D8</f>
        <v>0.3461119</v>
      </c>
      <c r="I8" s="68"/>
      <c r="J8" s="69">
        <v>0</v>
      </c>
      <c r="K8" s="69">
        <f t="shared" si="0"/>
        <v>0</v>
      </c>
    </row>
    <row r="9" spans="1:11" ht="25.5">
      <c r="A9" s="62" t="s">
        <v>64</v>
      </c>
      <c r="B9" s="72"/>
      <c r="C9" s="72"/>
      <c r="D9" s="65">
        <v>13.6</v>
      </c>
      <c r="E9" s="66"/>
      <c r="F9" s="66"/>
      <c r="G9" s="71">
        <v>13.6</v>
      </c>
      <c r="H9" s="67">
        <f>G9/D9</f>
        <v>1</v>
      </c>
      <c r="I9" s="68"/>
      <c r="J9" s="69"/>
      <c r="K9" s="69">
        <f t="shared" si="0"/>
        <v>0</v>
      </c>
    </row>
    <row r="10" spans="1:11" ht="13.5" thickBot="1">
      <c r="A10" s="73"/>
      <c r="B10" s="188" t="s">
        <v>75</v>
      </c>
      <c r="C10" s="188"/>
      <c r="D10" s="74">
        <f>SUM(D3:D9)</f>
        <v>188.012212</v>
      </c>
      <c r="E10" s="74">
        <f>SUM(E3:E9)</f>
        <v>74.23015142</v>
      </c>
      <c r="F10" s="74">
        <f>SUM(F3:F9)</f>
        <v>94.43038493999998</v>
      </c>
      <c r="G10" s="74">
        <f>SUM(G3:G9)</f>
        <v>19.35167564</v>
      </c>
      <c r="H10" s="75">
        <f>+G10/D10</f>
        <v>0.10292775896918865</v>
      </c>
      <c r="I10" s="68"/>
      <c r="J10" s="76">
        <f>SUM(J3:J9)</f>
        <v>70.2</v>
      </c>
      <c r="K10" s="76">
        <f>+E10-J10</f>
        <v>4.030151419999996</v>
      </c>
    </row>
    <row r="11" ht="6.75" customHeight="1"/>
    <row r="12" spans="1:11" ht="74.25" customHeight="1">
      <c r="A12" s="187" t="s">
        <v>20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</row>
    <row r="14" ht="12.75">
      <c r="A14" s="122" t="s">
        <v>410</v>
      </c>
    </row>
    <row r="15" spans="1:6" ht="12.75" customHeight="1">
      <c r="A15" s="118" t="s">
        <v>404</v>
      </c>
      <c r="B15" s="187" t="s">
        <v>408</v>
      </c>
      <c r="C15" s="187"/>
      <c r="D15" s="187"/>
      <c r="E15" s="187"/>
      <c r="F15" s="187"/>
    </row>
    <row r="16" spans="1:6" ht="12.75" customHeight="1">
      <c r="A16" s="119" t="s">
        <v>403</v>
      </c>
      <c r="B16" s="187" t="s">
        <v>407</v>
      </c>
      <c r="C16" s="187"/>
      <c r="D16" s="187"/>
      <c r="E16" s="187"/>
      <c r="F16" s="187"/>
    </row>
    <row r="17" spans="1:6" ht="12.75" customHeight="1">
      <c r="A17" s="120" t="s">
        <v>402</v>
      </c>
      <c r="B17" s="187" t="s">
        <v>406</v>
      </c>
      <c r="C17" s="187"/>
      <c r="D17" s="187"/>
      <c r="E17" s="187"/>
      <c r="F17" s="187"/>
    </row>
    <row r="18" spans="1:6" ht="12.75" customHeight="1">
      <c r="A18" s="121" t="s">
        <v>405</v>
      </c>
      <c r="B18" s="187" t="s">
        <v>409</v>
      </c>
      <c r="C18" s="187"/>
      <c r="D18" s="187"/>
      <c r="E18" s="187"/>
      <c r="F18" s="187"/>
    </row>
  </sheetData>
  <mergeCells count="9">
    <mergeCell ref="B17:F17"/>
    <mergeCell ref="B16:F16"/>
    <mergeCell ref="B15:F15"/>
    <mergeCell ref="B18:F18"/>
    <mergeCell ref="E1:K1"/>
    <mergeCell ref="A12:K12"/>
    <mergeCell ref="B10:C10"/>
    <mergeCell ref="B7:C7"/>
    <mergeCell ref="B8:C8"/>
  </mergeCells>
  <printOptions horizontalCentered="1"/>
  <pageMargins left="0.25" right="0.25" top="1" bottom="0.25" header="0.5" footer="0.26"/>
  <pageSetup fitToHeight="1" fitToWidth="1" horizontalDpi="600" verticalDpi="600" orientation="landscape" scale="95" r:id="rId3"/>
  <headerFooter alignWithMargins="0">
    <oddHeader>&amp;C&amp;"Trebuchet MS,Regular"&amp;F
&amp;A</oddHead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33"/>
  <sheetViews>
    <sheetView zoomScale="95" zoomScaleNormal="95" workbookViewId="0" topLeftCell="A1">
      <pane xSplit="2" ySplit="2" topLeftCell="E3" activePane="bottomRight" state="frozen"/>
      <selection pane="topLeft" activeCell="C21" sqref="C21"/>
      <selection pane="topRight" activeCell="C21" sqref="C21"/>
      <selection pane="bottomLeft" activeCell="C21" sqref="C21"/>
      <selection pane="bottomRight" activeCell="C21" sqref="C21"/>
    </sheetView>
  </sheetViews>
  <sheetFormatPr defaultColWidth="9.140625" defaultRowHeight="12.75"/>
  <cols>
    <col min="1" max="1" width="6.7109375" style="41" customWidth="1"/>
    <col min="2" max="2" width="13.140625" style="41" customWidth="1"/>
    <col min="3" max="3" width="11.28125" style="41" hidden="1" customWidth="1"/>
    <col min="4" max="4" width="13.140625" style="41" customWidth="1"/>
    <col min="5" max="5" width="38.57421875" style="41" customWidth="1"/>
    <col min="6" max="6" width="17.00390625" style="41" bestFit="1" customWidth="1"/>
    <col min="7" max="7" width="15.8515625" style="41" customWidth="1"/>
    <col min="8" max="8" width="13.8515625" style="41" customWidth="1"/>
    <col min="9" max="9" width="26.00390625" style="25" customWidth="1"/>
    <col min="10" max="10" width="11.140625" style="25" bestFit="1" customWidth="1"/>
    <col min="11" max="11" width="9.28125" style="41" bestFit="1" customWidth="1"/>
    <col min="12" max="16384" width="9.140625" style="41" customWidth="1"/>
  </cols>
  <sheetData>
    <row r="1" spans="1:10" ht="26.25" thickBot="1">
      <c r="A1" s="141"/>
      <c r="B1" s="142" t="s">
        <v>175</v>
      </c>
      <c r="C1" s="142" t="s">
        <v>167</v>
      </c>
      <c r="D1" s="143" t="s">
        <v>176</v>
      </c>
      <c r="E1" s="143" t="s">
        <v>262</v>
      </c>
      <c r="F1" s="144" t="s">
        <v>77</v>
      </c>
      <c r="G1" s="145" t="s">
        <v>260</v>
      </c>
      <c r="H1" s="146" t="s">
        <v>258</v>
      </c>
      <c r="I1" s="145" t="s">
        <v>177</v>
      </c>
      <c r="J1" s="147" t="s">
        <v>387</v>
      </c>
    </row>
    <row r="2" spans="1:10" ht="13.5" thickBot="1">
      <c r="A2" s="191" t="s">
        <v>178</v>
      </c>
      <c r="B2" s="192"/>
      <c r="C2" s="192"/>
      <c r="D2" s="192"/>
      <c r="E2" s="192"/>
      <c r="F2" s="192"/>
      <c r="G2" s="192"/>
      <c r="H2" s="192"/>
      <c r="I2" s="192"/>
      <c r="J2" s="193"/>
    </row>
    <row r="3" spans="1:10" ht="46.5" customHeight="1" thickBot="1">
      <c r="A3" s="123" t="s">
        <v>394</v>
      </c>
      <c r="B3" s="124" t="s">
        <v>79</v>
      </c>
      <c r="C3" s="125">
        <v>38412</v>
      </c>
      <c r="D3" s="104" t="s">
        <v>280</v>
      </c>
      <c r="E3" s="105" t="s">
        <v>271</v>
      </c>
      <c r="F3" s="106">
        <v>169495</v>
      </c>
      <c r="G3" s="156">
        <v>80226</v>
      </c>
      <c r="H3" s="106">
        <f aca="true" t="shared" si="0" ref="H3:H13">+F3-G3</f>
        <v>89269</v>
      </c>
      <c r="I3" s="107" t="s">
        <v>475</v>
      </c>
      <c r="J3" s="108" t="s">
        <v>389</v>
      </c>
    </row>
    <row r="4" spans="1:10" ht="63.75">
      <c r="A4" s="195" t="s">
        <v>393</v>
      </c>
      <c r="B4" s="39" t="s">
        <v>187</v>
      </c>
      <c r="C4" s="27">
        <v>38040</v>
      </c>
      <c r="D4" s="28" t="s">
        <v>280</v>
      </c>
      <c r="E4" s="29" t="s">
        <v>267</v>
      </c>
      <c r="F4" s="42">
        <v>480473</v>
      </c>
      <c r="G4" s="157">
        <f>431961+33053</f>
        <v>465014</v>
      </c>
      <c r="H4" s="42">
        <f t="shared" si="0"/>
        <v>15459</v>
      </c>
      <c r="I4" s="97" t="s">
        <v>476</v>
      </c>
      <c r="J4" s="31" t="s">
        <v>389</v>
      </c>
    </row>
    <row r="5" spans="1:11" ht="25.5">
      <c r="A5" s="196"/>
      <c r="B5" s="24" t="s">
        <v>188</v>
      </c>
      <c r="C5" s="20">
        <v>38076</v>
      </c>
      <c r="D5" s="21" t="s">
        <v>189</v>
      </c>
      <c r="E5" s="22" t="s">
        <v>268</v>
      </c>
      <c r="F5" s="45">
        <v>1200000</v>
      </c>
      <c r="G5" s="158">
        <v>1198799.01</v>
      </c>
      <c r="H5" s="45">
        <f t="shared" si="0"/>
        <v>1200.9899999999907</v>
      </c>
      <c r="I5" s="89" t="s">
        <v>487</v>
      </c>
      <c r="J5" s="32" t="s">
        <v>480</v>
      </c>
      <c r="K5" s="52"/>
    </row>
    <row r="6" spans="1:10" ht="26.25" thickBot="1">
      <c r="A6" s="197"/>
      <c r="B6" s="40" t="s">
        <v>199</v>
      </c>
      <c r="C6" s="34">
        <v>38255</v>
      </c>
      <c r="D6" s="35" t="s">
        <v>192</v>
      </c>
      <c r="E6" s="36" t="s">
        <v>277</v>
      </c>
      <c r="F6" s="47">
        <f>2375169+980431+289</f>
        <v>3355889</v>
      </c>
      <c r="G6" s="159">
        <v>3345625.87</v>
      </c>
      <c r="H6" s="47">
        <f t="shared" si="0"/>
        <v>10263.129999999888</v>
      </c>
      <c r="I6" s="98" t="s">
        <v>487</v>
      </c>
      <c r="J6" s="38" t="s">
        <v>391</v>
      </c>
    </row>
    <row r="7" spans="1:10" ht="12.75" customHeight="1">
      <c r="A7" s="198" t="s">
        <v>392</v>
      </c>
      <c r="B7" s="39" t="s">
        <v>179</v>
      </c>
      <c r="C7" s="39" t="s">
        <v>169</v>
      </c>
      <c r="D7" s="28" t="s">
        <v>180</v>
      </c>
      <c r="E7" s="29" t="s">
        <v>181</v>
      </c>
      <c r="F7" s="42">
        <f>542430-20</f>
        <v>542410</v>
      </c>
      <c r="G7" s="157">
        <f>13705+2206.21+113144.52+23764.91+389589.36</f>
        <v>542410</v>
      </c>
      <c r="H7" s="42">
        <f t="shared" si="0"/>
        <v>0</v>
      </c>
      <c r="I7" s="97"/>
      <c r="J7" s="31" t="s">
        <v>390</v>
      </c>
    </row>
    <row r="8" spans="1:10" ht="12.75">
      <c r="A8" s="199"/>
      <c r="B8" s="24" t="s">
        <v>182</v>
      </c>
      <c r="C8" s="20">
        <v>38061</v>
      </c>
      <c r="D8" s="21" t="s">
        <v>183</v>
      </c>
      <c r="E8" s="22" t="s">
        <v>263</v>
      </c>
      <c r="F8" s="45">
        <v>755752</v>
      </c>
      <c r="G8" s="158">
        <v>755751.65</v>
      </c>
      <c r="H8" s="45">
        <f t="shared" si="0"/>
        <v>0.34999999997671694</v>
      </c>
      <c r="I8" s="89"/>
      <c r="J8" s="32"/>
    </row>
    <row r="9" spans="1:10" ht="25.5">
      <c r="A9" s="199"/>
      <c r="B9" s="24" t="s">
        <v>184</v>
      </c>
      <c r="C9" s="20">
        <v>38040</v>
      </c>
      <c r="D9" s="21" t="s">
        <v>265</v>
      </c>
      <c r="E9" s="22" t="s">
        <v>264</v>
      </c>
      <c r="F9" s="45">
        <v>510276.81</v>
      </c>
      <c r="G9" s="158">
        <v>510276.81</v>
      </c>
      <c r="H9" s="45">
        <f t="shared" si="0"/>
        <v>0</v>
      </c>
      <c r="I9" s="89"/>
      <c r="J9" s="32" t="s">
        <v>390</v>
      </c>
    </row>
    <row r="10" spans="1:10" ht="38.25">
      <c r="A10" s="199"/>
      <c r="B10" s="24" t="s">
        <v>185</v>
      </c>
      <c r="C10" s="20">
        <v>38061</v>
      </c>
      <c r="D10" s="21" t="s">
        <v>186</v>
      </c>
      <c r="E10" s="22" t="s">
        <v>266</v>
      </c>
      <c r="F10" s="45">
        <v>2099711.41</v>
      </c>
      <c r="G10" s="158">
        <v>2099711.41</v>
      </c>
      <c r="H10" s="45">
        <f t="shared" si="0"/>
        <v>0</v>
      </c>
      <c r="I10" s="89"/>
      <c r="J10" s="32"/>
    </row>
    <row r="11" spans="1:10" ht="25.5">
      <c r="A11" s="199"/>
      <c r="B11" s="24" t="s">
        <v>190</v>
      </c>
      <c r="C11" s="20">
        <v>38294</v>
      </c>
      <c r="D11" s="21" t="s">
        <v>280</v>
      </c>
      <c r="E11" s="22" t="s">
        <v>269</v>
      </c>
      <c r="F11" s="45">
        <v>87124</v>
      </c>
      <c r="G11" s="158">
        <v>87124</v>
      </c>
      <c r="H11" s="45">
        <f t="shared" si="0"/>
        <v>0</v>
      </c>
      <c r="I11" s="89"/>
      <c r="J11" s="32" t="s">
        <v>389</v>
      </c>
    </row>
    <row r="12" spans="1:10" ht="25.5">
      <c r="A12" s="199"/>
      <c r="B12" s="24" t="s">
        <v>191</v>
      </c>
      <c r="C12" s="24"/>
      <c r="D12" s="21" t="s">
        <v>279</v>
      </c>
      <c r="E12" s="22" t="s">
        <v>270</v>
      </c>
      <c r="F12" s="45">
        <v>4813294</v>
      </c>
      <c r="G12" s="158">
        <v>4813293.8</v>
      </c>
      <c r="H12" s="45">
        <f t="shared" si="0"/>
        <v>0.20000000018626451</v>
      </c>
      <c r="I12" s="89"/>
      <c r="J12" s="32" t="s">
        <v>390</v>
      </c>
    </row>
    <row r="13" spans="1:10" ht="25.5">
      <c r="A13" s="199"/>
      <c r="B13" s="24" t="s">
        <v>78</v>
      </c>
      <c r="C13" s="24"/>
      <c r="D13" s="21" t="s">
        <v>161</v>
      </c>
      <c r="E13" s="22" t="s">
        <v>272</v>
      </c>
      <c r="F13" s="45">
        <v>96500</v>
      </c>
      <c r="G13" s="158">
        <v>96500</v>
      </c>
      <c r="H13" s="45">
        <f t="shared" si="0"/>
        <v>0</v>
      </c>
      <c r="I13" s="89"/>
      <c r="J13" s="32" t="s">
        <v>390</v>
      </c>
    </row>
    <row r="14" spans="1:10" ht="12.75">
      <c r="A14" s="199"/>
      <c r="B14" s="24" t="s">
        <v>193</v>
      </c>
      <c r="C14" s="24"/>
      <c r="D14" s="21" t="s">
        <v>164</v>
      </c>
      <c r="E14" s="22" t="s">
        <v>274</v>
      </c>
      <c r="F14" s="45">
        <v>40916.51</v>
      </c>
      <c r="G14" s="158">
        <v>40916.51</v>
      </c>
      <c r="H14" s="45">
        <v>0</v>
      </c>
      <c r="I14" s="89"/>
      <c r="J14" s="32" t="s">
        <v>390</v>
      </c>
    </row>
    <row r="15" spans="1:10" ht="12.75">
      <c r="A15" s="199"/>
      <c r="B15" s="24" t="s">
        <v>195</v>
      </c>
      <c r="C15" s="20">
        <v>38225</v>
      </c>
      <c r="D15" s="21" t="s">
        <v>192</v>
      </c>
      <c r="E15" s="22" t="s">
        <v>273</v>
      </c>
      <c r="F15" s="45">
        <v>150000</v>
      </c>
      <c r="G15" s="158">
        <v>150000</v>
      </c>
      <c r="H15" s="45">
        <f>+F15-G15</f>
        <v>0</v>
      </c>
      <c r="I15" s="89"/>
      <c r="J15" s="32" t="s">
        <v>390</v>
      </c>
    </row>
    <row r="16" spans="1:10" ht="12.75">
      <c r="A16" s="199"/>
      <c r="B16" s="24" t="s">
        <v>196</v>
      </c>
      <c r="C16" s="20">
        <v>38341</v>
      </c>
      <c r="D16" s="21" t="s">
        <v>192</v>
      </c>
      <c r="E16" s="22" t="s">
        <v>275</v>
      </c>
      <c r="F16" s="45">
        <v>1379538.69</v>
      </c>
      <c r="G16" s="158">
        <v>1379538.69</v>
      </c>
      <c r="H16" s="45">
        <f>+F16-G16</f>
        <v>0</v>
      </c>
      <c r="I16" s="89" t="s">
        <v>478</v>
      </c>
      <c r="J16" s="32"/>
    </row>
    <row r="17" spans="1:10" ht="38.25">
      <c r="A17" s="199"/>
      <c r="B17" s="24"/>
      <c r="C17" s="20"/>
      <c r="D17" s="21"/>
      <c r="E17" s="22" t="s">
        <v>477</v>
      </c>
      <c r="F17" s="45">
        <v>34435</v>
      </c>
      <c r="G17" s="158"/>
      <c r="H17" s="45">
        <f>+F17-G17</f>
        <v>34435</v>
      </c>
      <c r="I17" s="89" t="s">
        <v>479</v>
      </c>
      <c r="J17" s="32"/>
    </row>
    <row r="18" spans="1:10" ht="38.25">
      <c r="A18" s="199"/>
      <c r="B18" s="24" t="s">
        <v>197</v>
      </c>
      <c r="C18" s="20">
        <v>38061</v>
      </c>
      <c r="D18" s="21" t="s">
        <v>198</v>
      </c>
      <c r="E18" s="22" t="s">
        <v>276</v>
      </c>
      <c r="F18" s="45">
        <v>365293</v>
      </c>
      <c r="G18" s="158">
        <v>365293.11</v>
      </c>
      <c r="H18" s="45">
        <f>+F18-G18</f>
        <v>-0.10999999998603016</v>
      </c>
      <c r="I18" s="89"/>
      <c r="J18" s="32" t="s">
        <v>390</v>
      </c>
    </row>
    <row r="19" spans="1:10" ht="26.25" thickBot="1">
      <c r="A19" s="200"/>
      <c r="B19" s="40" t="s">
        <v>200</v>
      </c>
      <c r="C19" s="34">
        <v>38422</v>
      </c>
      <c r="D19" s="35" t="s">
        <v>201</v>
      </c>
      <c r="E19" s="36" t="s">
        <v>278</v>
      </c>
      <c r="F19" s="47">
        <v>1999892</v>
      </c>
      <c r="G19" s="159">
        <v>1999891.86</v>
      </c>
      <c r="H19" s="47">
        <f>+F19-G19</f>
        <v>0.13999999989755452</v>
      </c>
      <c r="I19" s="98"/>
      <c r="J19" s="38" t="s">
        <v>388</v>
      </c>
    </row>
    <row r="20" spans="2:10" ht="12.75">
      <c r="B20" s="194" t="s">
        <v>202</v>
      </c>
      <c r="C20" s="194"/>
      <c r="D20" s="194"/>
      <c r="E20" s="194"/>
      <c r="F20" s="90">
        <f>SUM(F3:F19)</f>
        <v>18081000.419999998</v>
      </c>
      <c r="G20" s="90">
        <f>SUM(G3:G19)</f>
        <v>17930372.72</v>
      </c>
      <c r="H20" s="90">
        <f>SUM(H3:H19)</f>
        <v>150627.69999999995</v>
      </c>
      <c r="I20" s="91"/>
      <c r="J20" s="91"/>
    </row>
    <row r="21" ht="12.75">
      <c r="F21" s="52">
        <f>18081000-F20</f>
        <v>-0.41999999806284904</v>
      </c>
    </row>
    <row r="22" spans="5:10" ht="12.75">
      <c r="E22" s="80"/>
      <c r="F22" s="81"/>
      <c r="G22" s="51"/>
      <c r="H22" s="25"/>
      <c r="I22" s="41"/>
      <c r="J22" s="41"/>
    </row>
    <row r="23" spans="5:10" ht="12.75">
      <c r="E23" s="82"/>
      <c r="F23" s="83"/>
      <c r="G23" s="51"/>
      <c r="H23" s="25"/>
      <c r="I23" s="41"/>
      <c r="J23" s="41"/>
    </row>
    <row r="24" spans="2:10" ht="12.75">
      <c r="B24" s="84"/>
      <c r="C24" s="84"/>
      <c r="G24" s="51"/>
      <c r="H24" s="25"/>
      <c r="I24" s="41"/>
      <c r="J24" s="41"/>
    </row>
    <row r="25" spans="2:10" ht="12.75">
      <c r="B25" s="84"/>
      <c r="C25" s="84"/>
      <c r="G25" s="51"/>
      <c r="H25" s="25"/>
      <c r="I25" s="41"/>
      <c r="J25" s="41"/>
    </row>
    <row r="26" spans="2:10" ht="12.75">
      <c r="B26" s="84"/>
      <c r="C26" s="84"/>
      <c r="G26" s="51"/>
      <c r="H26" s="25"/>
      <c r="I26" s="41"/>
      <c r="J26" s="41"/>
    </row>
    <row r="27" spans="2:10" ht="12.75">
      <c r="B27" s="84"/>
      <c r="C27" s="84"/>
      <c r="G27" s="51"/>
      <c r="H27" s="25"/>
      <c r="I27" s="41"/>
      <c r="J27" s="41"/>
    </row>
    <row r="28" spans="7:10" ht="12.75">
      <c r="G28" s="51"/>
      <c r="H28" s="25"/>
      <c r="I28" s="41"/>
      <c r="J28" s="41"/>
    </row>
    <row r="29" spans="7:10" ht="12.75">
      <c r="G29" s="51"/>
      <c r="H29" s="25"/>
      <c r="I29" s="41"/>
      <c r="J29" s="41"/>
    </row>
    <row r="30" spans="7:10" ht="12.75">
      <c r="G30" s="51"/>
      <c r="H30" s="25"/>
      <c r="I30" s="41"/>
      <c r="J30" s="41"/>
    </row>
    <row r="31" ht="12.75">
      <c r="G31" s="50"/>
    </row>
    <row r="32" ht="12.75">
      <c r="G32" s="52"/>
    </row>
    <row r="33" spans="6:7" ht="12.75">
      <c r="F33" s="53"/>
      <c r="G33" s="52"/>
    </row>
  </sheetData>
  <autoFilter ref="B1:I20"/>
  <mergeCells count="4">
    <mergeCell ref="A2:J2"/>
    <mergeCell ref="B20:E20"/>
    <mergeCell ref="A4:A6"/>
    <mergeCell ref="A7:A19"/>
  </mergeCells>
  <printOptions gridLines="1" horizontalCentered="1"/>
  <pageMargins left="0.25" right="0.25" top="0.88" bottom="0.19" header="0.5" footer="0.24"/>
  <pageSetup fitToHeight="1" fitToWidth="1" horizontalDpi="600" verticalDpi="600" orientation="landscape" scale="88" r:id="rId1"/>
  <headerFooter alignWithMargins="0">
    <oddHeader>&amp;C&amp;"Trebuchet MS,Regular"&amp;F
&amp;A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32"/>
  <sheetViews>
    <sheetView zoomScale="95" zoomScaleNormal="95" workbookViewId="0" topLeftCell="A1">
      <pane xSplit="4" ySplit="2" topLeftCell="E3" activePane="bottomRight" state="frozen"/>
      <selection pane="topLeft" activeCell="C21" sqref="C21"/>
      <selection pane="topRight" activeCell="C21" sqref="C21"/>
      <selection pane="bottomLeft" activeCell="C21" sqref="C21"/>
      <selection pane="bottomRight" activeCell="C21" sqref="C21"/>
    </sheetView>
  </sheetViews>
  <sheetFormatPr defaultColWidth="9.140625" defaultRowHeight="12.75"/>
  <cols>
    <col min="1" max="1" width="5.7109375" style="18" customWidth="1"/>
    <col min="2" max="2" width="14.00390625" style="19" bestFit="1" customWidth="1"/>
    <col min="3" max="3" width="17.57421875" style="18" customWidth="1"/>
    <col min="4" max="4" width="37.7109375" style="18" customWidth="1"/>
    <col min="5" max="5" width="13.57421875" style="23" customWidth="1"/>
    <col min="6" max="7" width="15.28125" style="23" customWidth="1"/>
    <col min="8" max="8" width="20.7109375" style="22" customWidth="1"/>
    <col min="9" max="9" width="17.421875" style="22" customWidth="1"/>
    <col min="10" max="10" width="12.140625" style="18" bestFit="1" customWidth="1"/>
    <col min="11" max="16384" width="9.140625" style="18" customWidth="1"/>
  </cols>
  <sheetData>
    <row r="1" spans="1:9" ht="39" thickBot="1">
      <c r="A1" s="126"/>
      <c r="B1" s="132" t="s">
        <v>175</v>
      </c>
      <c r="C1" s="133" t="s">
        <v>176</v>
      </c>
      <c r="D1" s="133" t="s">
        <v>292</v>
      </c>
      <c r="E1" s="134" t="s">
        <v>77</v>
      </c>
      <c r="F1" s="135" t="s">
        <v>260</v>
      </c>
      <c r="G1" s="136" t="s">
        <v>258</v>
      </c>
      <c r="H1" s="135" t="s">
        <v>177</v>
      </c>
      <c r="I1" s="137" t="s">
        <v>387</v>
      </c>
    </row>
    <row r="2" spans="1:9" ht="13.5" thickBot="1">
      <c r="A2" s="201" t="s">
        <v>21</v>
      </c>
      <c r="B2" s="202"/>
      <c r="C2" s="202"/>
      <c r="D2" s="202"/>
      <c r="E2" s="202"/>
      <c r="F2" s="202"/>
      <c r="G2" s="202"/>
      <c r="H2" s="202"/>
      <c r="I2" s="203"/>
    </row>
    <row r="3" spans="1:9" ht="12.75" customHeight="1">
      <c r="A3" s="204" t="s">
        <v>394</v>
      </c>
      <c r="B3" s="19" t="s">
        <v>27</v>
      </c>
      <c r="C3" s="21" t="s">
        <v>192</v>
      </c>
      <c r="D3" s="22" t="s">
        <v>282</v>
      </c>
      <c r="E3" s="23">
        <v>1297086</v>
      </c>
      <c r="F3" s="23">
        <v>0</v>
      </c>
      <c r="G3" s="23">
        <f>E3-F3</f>
        <v>1297086</v>
      </c>
      <c r="H3" s="89" t="s">
        <v>241</v>
      </c>
      <c r="I3" s="32" t="s">
        <v>480</v>
      </c>
    </row>
    <row r="4" spans="1:9" ht="39" thickBot="1">
      <c r="A4" s="205"/>
      <c r="B4" s="19" t="s">
        <v>36</v>
      </c>
      <c r="C4" s="21" t="s">
        <v>192</v>
      </c>
      <c r="D4" s="22" t="s">
        <v>289</v>
      </c>
      <c r="E4" s="23">
        <v>200000</v>
      </c>
      <c r="F4" s="23">
        <v>0</v>
      </c>
      <c r="G4" s="23">
        <f>E4-F4</f>
        <v>200000</v>
      </c>
      <c r="H4" s="89" t="s">
        <v>483</v>
      </c>
      <c r="I4" s="32" t="s">
        <v>395</v>
      </c>
    </row>
    <row r="5" spans="1:10" ht="12.75" customHeight="1">
      <c r="A5" s="206" t="s">
        <v>393</v>
      </c>
      <c r="B5" s="26" t="s">
        <v>22</v>
      </c>
      <c r="C5" s="28" t="s">
        <v>180</v>
      </c>
      <c r="D5" s="29" t="s">
        <v>181</v>
      </c>
      <c r="E5" s="30">
        <f>851760+20313</f>
        <v>872073</v>
      </c>
      <c r="F5" s="30">
        <f>173659.61+11661.5+7490.34+2507.12+600822.92+60933.04+6034.36</f>
        <v>863108.89</v>
      </c>
      <c r="G5" s="30">
        <f>+E5-F5</f>
        <v>8964.109999999986</v>
      </c>
      <c r="H5" s="97"/>
      <c r="I5" s="31" t="s">
        <v>390</v>
      </c>
      <c r="J5" s="45"/>
    </row>
    <row r="6" spans="1:9" ht="12.75" customHeight="1">
      <c r="A6" s="207"/>
      <c r="B6" s="19" t="s">
        <v>65</v>
      </c>
      <c r="C6" s="21" t="s">
        <v>112</v>
      </c>
      <c r="D6" s="18" t="s">
        <v>170</v>
      </c>
      <c r="E6" s="23">
        <v>51673.64</v>
      </c>
      <c r="F6" s="23">
        <v>42684.1</v>
      </c>
      <c r="G6" s="23">
        <f>+E6-F6</f>
        <v>8989.54</v>
      </c>
      <c r="H6" s="89" t="s">
        <v>455</v>
      </c>
      <c r="I6" s="32" t="s">
        <v>390</v>
      </c>
    </row>
    <row r="7" spans="1:9" ht="12.75">
      <c r="A7" s="207"/>
      <c r="B7" s="19" t="s">
        <v>23</v>
      </c>
      <c r="C7" s="21" t="s">
        <v>192</v>
      </c>
      <c r="D7" s="22" t="s">
        <v>281</v>
      </c>
      <c r="E7" s="23">
        <f>10933240+4160000+1171345+765169+70000</f>
        <v>17099754</v>
      </c>
      <c r="F7" s="23">
        <v>14450587.59</v>
      </c>
      <c r="G7" s="23">
        <f>E7-F7</f>
        <v>2649166.41</v>
      </c>
      <c r="H7" s="89"/>
      <c r="I7" s="32" t="s">
        <v>480</v>
      </c>
    </row>
    <row r="8" spans="1:9" ht="23.25" customHeight="1">
      <c r="A8" s="207"/>
      <c r="B8" s="19" t="s">
        <v>34</v>
      </c>
      <c r="C8" s="21" t="s">
        <v>192</v>
      </c>
      <c r="D8" s="22" t="s">
        <v>287</v>
      </c>
      <c r="E8" s="23">
        <v>139805</v>
      </c>
      <c r="F8" s="23">
        <v>134211.9</v>
      </c>
      <c r="G8" s="23">
        <f>E8-F8</f>
        <v>5593.100000000006</v>
      </c>
      <c r="H8" s="89"/>
      <c r="I8" s="32" t="s">
        <v>391</v>
      </c>
    </row>
    <row r="9" spans="1:9" ht="12.75">
      <c r="A9" s="207"/>
      <c r="B9" s="19" t="s">
        <v>36</v>
      </c>
      <c r="C9" s="21" t="s">
        <v>411</v>
      </c>
      <c r="D9" s="22" t="s">
        <v>289</v>
      </c>
      <c r="E9" s="23">
        <v>200000</v>
      </c>
      <c r="F9" s="23">
        <v>0</v>
      </c>
      <c r="G9" s="23">
        <f>E9-F9</f>
        <v>200000</v>
      </c>
      <c r="H9" s="89"/>
      <c r="I9" s="32" t="s">
        <v>395</v>
      </c>
    </row>
    <row r="10" spans="1:9" ht="24.75" customHeight="1">
      <c r="A10" s="207"/>
      <c r="B10" s="19" t="s">
        <v>36</v>
      </c>
      <c r="C10" s="21" t="s">
        <v>110</v>
      </c>
      <c r="D10" s="22" t="s">
        <v>289</v>
      </c>
      <c r="E10" s="23">
        <v>200000</v>
      </c>
      <c r="F10" s="23">
        <v>0</v>
      </c>
      <c r="G10" s="23">
        <f>E10-F10</f>
        <v>200000</v>
      </c>
      <c r="H10" s="89"/>
      <c r="I10" s="32" t="s">
        <v>395</v>
      </c>
    </row>
    <row r="11" spans="1:9" ht="25.5">
      <c r="A11" s="207"/>
      <c r="B11" s="19" t="s">
        <v>37</v>
      </c>
      <c r="C11" s="21" t="s">
        <v>38</v>
      </c>
      <c r="D11" s="22" t="s">
        <v>290</v>
      </c>
      <c r="E11" s="23">
        <f>10602463-3500000+176471+15000+68899-40108-20313</f>
        <v>7302412</v>
      </c>
      <c r="F11" s="23">
        <f>1387117.03+6000000</f>
        <v>7387117.03</v>
      </c>
      <c r="G11" s="23">
        <f>E11-F11</f>
        <v>-84705.03000000026</v>
      </c>
      <c r="H11" s="89" t="s">
        <v>456</v>
      </c>
      <c r="I11" s="32" t="s">
        <v>390</v>
      </c>
    </row>
    <row r="12" spans="1:9" ht="23.25" customHeight="1" thickBot="1">
      <c r="A12" s="208"/>
      <c r="B12" s="33" t="s">
        <v>207</v>
      </c>
      <c r="C12" s="35" t="s">
        <v>192</v>
      </c>
      <c r="D12" s="36" t="s">
        <v>291</v>
      </c>
      <c r="E12" s="37">
        <f>131699.14+57+13+1961+1030+330</f>
        <v>135090.14</v>
      </c>
      <c r="F12" s="37">
        <v>96042.31</v>
      </c>
      <c r="G12" s="37">
        <f>E12-F12+80000</f>
        <v>119047.83000000002</v>
      </c>
      <c r="H12" s="166" t="s">
        <v>457</v>
      </c>
      <c r="I12" s="38" t="s">
        <v>391</v>
      </c>
    </row>
    <row r="13" spans="1:9" ht="12.75" customHeight="1">
      <c r="A13" s="198" t="s">
        <v>392</v>
      </c>
      <c r="B13" s="26" t="s">
        <v>66</v>
      </c>
      <c r="C13" s="28" t="s">
        <v>112</v>
      </c>
      <c r="D13" s="100" t="s">
        <v>171</v>
      </c>
      <c r="E13" s="30">
        <v>92727</v>
      </c>
      <c r="F13" s="30">
        <v>92727</v>
      </c>
      <c r="G13" s="30">
        <f>+E13-F13</f>
        <v>0</v>
      </c>
      <c r="H13" s="97"/>
      <c r="I13" s="31"/>
    </row>
    <row r="14" spans="1:9" ht="12.75">
      <c r="A14" s="199"/>
      <c r="B14" s="19" t="s">
        <v>203</v>
      </c>
      <c r="C14" s="21" t="s">
        <v>183</v>
      </c>
      <c r="D14" s="18" t="s">
        <v>293</v>
      </c>
      <c r="E14" s="23">
        <v>61750</v>
      </c>
      <c r="F14" s="23">
        <v>60000</v>
      </c>
      <c r="G14" s="23">
        <f>+E14-F14</f>
        <v>1750</v>
      </c>
      <c r="H14" s="89" t="s">
        <v>294</v>
      </c>
      <c r="I14" s="32" t="s">
        <v>391</v>
      </c>
    </row>
    <row r="15" spans="1:9" ht="12.75">
      <c r="A15" s="199"/>
      <c r="B15" s="19" t="s">
        <v>24</v>
      </c>
      <c r="C15" s="21" t="s">
        <v>201</v>
      </c>
      <c r="D15" s="22" t="s">
        <v>278</v>
      </c>
      <c r="E15" s="23">
        <f>3502635-330</f>
        <v>3502305</v>
      </c>
      <c r="F15" s="23">
        <v>3502305.49</v>
      </c>
      <c r="G15" s="23">
        <f>E15-F15</f>
        <v>-0.4900000002235174</v>
      </c>
      <c r="H15" s="89" t="s">
        <v>474</v>
      </c>
      <c r="I15" s="32" t="s">
        <v>480</v>
      </c>
    </row>
    <row r="16" spans="1:9" ht="12.75">
      <c r="A16" s="199"/>
      <c r="B16" s="19" t="s">
        <v>25</v>
      </c>
      <c r="C16" s="21" t="s">
        <v>26</v>
      </c>
      <c r="D16" s="22" t="s">
        <v>282</v>
      </c>
      <c r="E16" s="23">
        <v>1191681.35</v>
      </c>
      <c r="F16" s="23">
        <v>1191681.35</v>
      </c>
      <c r="G16" s="23">
        <f>+E16-F16</f>
        <v>0</v>
      </c>
      <c r="H16" s="89" t="s">
        <v>474</v>
      </c>
      <c r="I16" s="32" t="s">
        <v>480</v>
      </c>
    </row>
    <row r="17" spans="1:9" ht="25.5" customHeight="1">
      <c r="A17" s="199"/>
      <c r="B17" s="19" t="s">
        <v>28</v>
      </c>
      <c r="C17" s="21" t="s">
        <v>29</v>
      </c>
      <c r="D17" s="22" t="s">
        <v>283</v>
      </c>
      <c r="E17" s="23">
        <f>1800000-1961</f>
        <v>1798039</v>
      </c>
      <c r="F17" s="23">
        <v>1798039.21</v>
      </c>
      <c r="G17" s="23">
        <f>E17-F17</f>
        <v>-0.2099999999627471</v>
      </c>
      <c r="H17" s="89" t="s">
        <v>474</v>
      </c>
      <c r="I17" s="32" t="s">
        <v>391</v>
      </c>
    </row>
    <row r="18" spans="1:9" ht="12.75">
      <c r="A18" s="199"/>
      <c r="B18" s="19" t="s">
        <v>206</v>
      </c>
      <c r="C18" s="21" t="s">
        <v>46</v>
      </c>
      <c r="D18" s="22" t="s">
        <v>284</v>
      </c>
      <c r="E18" s="23">
        <f>1000000-1030</f>
        <v>998970</v>
      </c>
      <c r="F18" s="23">
        <v>998970</v>
      </c>
      <c r="G18" s="23">
        <f>E18-F18</f>
        <v>0</v>
      </c>
      <c r="H18" s="89" t="s">
        <v>474</v>
      </c>
      <c r="I18" s="32" t="s">
        <v>391</v>
      </c>
    </row>
    <row r="19" spans="1:9" ht="12.75">
      <c r="A19" s="199"/>
      <c r="B19" s="19" t="s">
        <v>205</v>
      </c>
      <c r="C19" s="21" t="s">
        <v>138</v>
      </c>
      <c r="D19" s="22" t="s">
        <v>284</v>
      </c>
      <c r="E19" s="23">
        <v>1000000</v>
      </c>
      <c r="F19" s="23">
        <v>1000000</v>
      </c>
      <c r="G19" s="23">
        <f>E19-F19</f>
        <v>0</v>
      </c>
      <c r="H19" s="89"/>
      <c r="I19" s="32" t="s">
        <v>391</v>
      </c>
    </row>
    <row r="20" spans="1:9" ht="12.75">
      <c r="A20" s="199"/>
      <c r="B20" s="19" t="s">
        <v>204</v>
      </c>
      <c r="C20" s="21" t="s">
        <v>68</v>
      </c>
      <c r="D20" s="22" t="s">
        <v>284</v>
      </c>
      <c r="E20" s="23">
        <v>999994</v>
      </c>
      <c r="F20" s="23">
        <v>999993.69</v>
      </c>
      <c r="G20" s="23">
        <f>E20-F20</f>
        <v>0.31000000005587935</v>
      </c>
      <c r="H20" s="89"/>
      <c r="I20" s="32" t="s">
        <v>391</v>
      </c>
    </row>
    <row r="21" spans="1:9" ht="12.75">
      <c r="A21" s="199"/>
      <c r="B21" s="19" t="s">
        <v>30</v>
      </c>
      <c r="C21" s="21" t="s">
        <v>26</v>
      </c>
      <c r="D21" s="22" t="s">
        <v>285</v>
      </c>
      <c r="E21" s="23">
        <v>3328655</v>
      </c>
      <c r="F21" s="23">
        <v>3328655</v>
      </c>
      <c r="G21" s="23">
        <f>E21-F21</f>
        <v>0</v>
      </c>
      <c r="H21" s="89"/>
      <c r="I21" s="32" t="s">
        <v>391</v>
      </c>
    </row>
    <row r="22" spans="1:9" ht="12.75">
      <c r="A22" s="199"/>
      <c r="B22" s="19" t="s">
        <v>31</v>
      </c>
      <c r="C22" s="21" t="s">
        <v>26</v>
      </c>
      <c r="D22" s="22" t="s">
        <v>277</v>
      </c>
      <c r="E22" s="23">
        <v>1807628</v>
      </c>
      <c r="F22" s="23">
        <v>1807628.39</v>
      </c>
      <c r="G22" s="23">
        <f>+E22-F22</f>
        <v>-0.3899999998975545</v>
      </c>
      <c r="H22" s="89"/>
      <c r="I22" s="32" t="s">
        <v>391</v>
      </c>
    </row>
    <row r="23" spans="1:9" ht="25.5">
      <c r="A23" s="199"/>
      <c r="B23" s="19" t="s">
        <v>32</v>
      </c>
      <c r="C23" s="21" t="s">
        <v>33</v>
      </c>
      <c r="D23" s="22" t="s">
        <v>286</v>
      </c>
      <c r="E23" s="23">
        <f>40860-57</f>
        <v>40803</v>
      </c>
      <c r="F23" s="23">
        <v>40803</v>
      </c>
      <c r="G23" s="23">
        <f>E23-F23</f>
        <v>0</v>
      </c>
      <c r="H23" s="89" t="s">
        <v>474</v>
      </c>
      <c r="I23" s="32" t="s">
        <v>391</v>
      </c>
    </row>
    <row r="24" spans="1:9" ht="25.5">
      <c r="A24" s="199"/>
      <c r="B24" s="19" t="s">
        <v>35</v>
      </c>
      <c r="C24" s="21" t="s">
        <v>26</v>
      </c>
      <c r="D24" s="22" t="s">
        <v>288</v>
      </c>
      <c r="E24" s="23">
        <v>14405</v>
      </c>
      <c r="F24" s="23">
        <v>14405</v>
      </c>
      <c r="G24" s="23">
        <f>E24-F24</f>
        <v>0</v>
      </c>
      <c r="H24" s="89"/>
      <c r="I24" s="32" t="s">
        <v>391</v>
      </c>
    </row>
    <row r="25" spans="1:9" ht="13.5" thickBot="1">
      <c r="A25" s="200"/>
      <c r="B25" s="33" t="s">
        <v>67</v>
      </c>
      <c r="C25" s="35" t="s">
        <v>112</v>
      </c>
      <c r="D25" s="102" t="s">
        <v>172</v>
      </c>
      <c r="E25" s="37">
        <v>75000</v>
      </c>
      <c r="F25" s="37">
        <v>75000</v>
      </c>
      <c r="G25" s="37">
        <f>+E25-F25</f>
        <v>0</v>
      </c>
      <c r="H25" s="98"/>
      <c r="I25" s="32" t="s">
        <v>391</v>
      </c>
    </row>
    <row r="26" spans="1:9" ht="13.5" thickBot="1">
      <c r="A26" s="126"/>
      <c r="B26" s="127"/>
      <c r="C26" s="128"/>
      <c r="D26" s="128" t="s">
        <v>397</v>
      </c>
      <c r="E26" s="129">
        <f>SUM(E5:E25)</f>
        <v>40912765.13</v>
      </c>
      <c r="F26" s="129">
        <f>SUM(F2:F25)</f>
        <v>37883959.95</v>
      </c>
      <c r="G26" s="129">
        <f>SUM(G2:G25)</f>
        <v>4605891.180000001</v>
      </c>
      <c r="H26" s="130"/>
      <c r="I26" s="131"/>
    </row>
    <row r="27" ht="12.75">
      <c r="E27" s="23">
        <f>42409851-E26</f>
        <v>1497085.8699999973</v>
      </c>
    </row>
    <row r="28" ht="12.75"/>
    <row r="29" spans="5:6" ht="12.75">
      <c r="E29" s="23">
        <f>11661.5+7490.34+1790.12+600822.92+60933.04+717+6034.36+173659.61</f>
        <v>863108.89</v>
      </c>
      <c r="F29" s="23" t="s">
        <v>489</v>
      </c>
    </row>
    <row r="30" spans="2:6" ht="12.75">
      <c r="B30" s="99"/>
      <c r="E30" s="23">
        <f>1387117.03+6000000</f>
        <v>7387117.03</v>
      </c>
      <c r="F30" s="23" t="s">
        <v>37</v>
      </c>
    </row>
    <row r="31" ht="12.75">
      <c r="B31" s="99"/>
    </row>
    <row r="32" ht="12.75">
      <c r="B32" s="99"/>
    </row>
  </sheetData>
  <autoFilter ref="B1:H26"/>
  <mergeCells count="4">
    <mergeCell ref="A13:A25"/>
    <mergeCell ref="A2:I2"/>
    <mergeCell ref="A3:A4"/>
    <mergeCell ref="A5:A12"/>
  </mergeCells>
  <printOptions gridLines="1" horizontalCentered="1"/>
  <pageMargins left="0.25" right="0.25" top="0.88" bottom="0.72" header="0.5" footer="0.5"/>
  <pageSetup cellComments="asDisplayed" fitToHeight="1" fitToWidth="1" horizontalDpi="600" verticalDpi="600" orientation="landscape" scale="86" r:id="rId3"/>
  <headerFooter alignWithMargins="0">
    <oddHeader>&amp;C&amp;"Trebuchet MS,Regular"&amp;F
&amp;A</oddHeader>
    <oddFooter>&amp;CPage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59"/>
  <sheetViews>
    <sheetView zoomScale="90" zoomScaleNormal="90" workbookViewId="0" topLeftCell="A1">
      <pane xSplit="3" ySplit="2" topLeftCell="D15" activePane="bottomRight" state="frozen"/>
      <selection pane="topLeft" activeCell="C21" sqref="C21"/>
      <selection pane="topRight" activeCell="C21" sqref="C21"/>
      <selection pane="bottomLeft" activeCell="C21" sqref="C21"/>
      <selection pane="bottomRight" activeCell="C21" sqref="C21"/>
    </sheetView>
  </sheetViews>
  <sheetFormatPr defaultColWidth="9.140625" defaultRowHeight="12.75"/>
  <cols>
    <col min="1" max="1" width="8.7109375" style="41" customWidth="1"/>
    <col min="2" max="2" width="13.8515625" style="49" customWidth="1"/>
    <col min="3" max="3" width="15.7109375" style="41" customWidth="1"/>
    <col min="4" max="4" width="33.00390625" style="41" customWidth="1"/>
    <col min="5" max="6" width="13.57421875" style="41" customWidth="1"/>
    <col min="7" max="7" width="15.00390625" style="41" bestFit="1" customWidth="1"/>
    <col min="8" max="8" width="13.57421875" style="41" customWidth="1"/>
    <col min="9" max="9" width="25.57421875" style="25" customWidth="1"/>
    <col min="10" max="10" width="13.421875" style="25" bestFit="1" customWidth="1"/>
    <col min="11" max="16384" width="9.140625" style="41" customWidth="1"/>
  </cols>
  <sheetData>
    <row r="1" spans="1:10" s="18" customFormat="1" ht="39" thickBot="1">
      <c r="A1" s="126"/>
      <c r="B1" s="132" t="s">
        <v>175</v>
      </c>
      <c r="C1" s="133" t="s">
        <v>176</v>
      </c>
      <c r="D1" s="133" t="s">
        <v>262</v>
      </c>
      <c r="E1" s="134" t="s">
        <v>77</v>
      </c>
      <c r="F1" s="135" t="s">
        <v>260</v>
      </c>
      <c r="G1" s="136" t="s">
        <v>258</v>
      </c>
      <c r="H1" s="136" t="s">
        <v>381</v>
      </c>
      <c r="I1" s="135" t="s">
        <v>177</v>
      </c>
      <c r="J1" s="137" t="s">
        <v>387</v>
      </c>
    </row>
    <row r="2" spans="1:10" ht="13.5" thickBot="1">
      <c r="A2" s="209" t="s">
        <v>39</v>
      </c>
      <c r="B2" s="210"/>
      <c r="C2" s="210"/>
      <c r="D2" s="210"/>
      <c r="E2" s="210"/>
      <c r="F2" s="210"/>
      <c r="G2" s="210"/>
      <c r="H2" s="210"/>
      <c r="I2" s="210"/>
      <c r="J2" s="211"/>
    </row>
    <row r="3" spans="1:10" s="43" customFormat="1" ht="25.5" customHeight="1">
      <c r="A3" s="218" t="s">
        <v>394</v>
      </c>
      <c r="B3" s="172" t="s">
        <v>380</v>
      </c>
      <c r="C3" s="28" t="s">
        <v>169</v>
      </c>
      <c r="D3" s="29" t="s">
        <v>379</v>
      </c>
      <c r="E3" s="42">
        <v>472004</v>
      </c>
      <c r="F3" s="42">
        <v>0</v>
      </c>
      <c r="G3" s="42">
        <v>0</v>
      </c>
      <c r="H3" s="42">
        <f aca="true" t="shared" si="0" ref="H3:H44">+E3-F3-G3</f>
        <v>472004</v>
      </c>
      <c r="I3" s="161" t="s">
        <v>507</v>
      </c>
      <c r="J3" s="31" t="s">
        <v>481</v>
      </c>
    </row>
    <row r="4" spans="1:10" s="43" customFormat="1" ht="38.25">
      <c r="A4" s="219"/>
      <c r="B4" s="19" t="s">
        <v>41</v>
      </c>
      <c r="C4" s="21" t="s">
        <v>80</v>
      </c>
      <c r="D4" s="22" t="s">
        <v>296</v>
      </c>
      <c r="E4" s="45">
        <v>125013</v>
      </c>
      <c r="F4" s="45">
        <v>71633.98</v>
      </c>
      <c r="G4" s="45">
        <f>+E4-F4</f>
        <v>53379.020000000004</v>
      </c>
      <c r="H4" s="45">
        <f t="shared" si="0"/>
        <v>0</v>
      </c>
      <c r="I4" s="89"/>
      <c r="J4" s="32" t="s">
        <v>481</v>
      </c>
    </row>
    <row r="5" spans="1:10" s="43" customFormat="1" ht="25.5">
      <c r="A5" s="219"/>
      <c r="B5" s="19" t="s">
        <v>234</v>
      </c>
      <c r="C5" s="21" t="s">
        <v>235</v>
      </c>
      <c r="D5" s="22" t="s">
        <v>308</v>
      </c>
      <c r="E5" s="45">
        <v>300000</v>
      </c>
      <c r="F5" s="45"/>
      <c r="G5" s="45">
        <v>0</v>
      </c>
      <c r="H5" s="45">
        <f t="shared" si="0"/>
        <v>300000</v>
      </c>
      <c r="I5" s="160" t="s">
        <v>240</v>
      </c>
      <c r="J5" s="32" t="s">
        <v>481</v>
      </c>
    </row>
    <row r="6" spans="1:10" s="43" customFormat="1" ht="12.75">
      <c r="A6" s="219"/>
      <c r="B6" s="19" t="s">
        <v>53</v>
      </c>
      <c r="C6" s="21" t="s">
        <v>54</v>
      </c>
      <c r="D6" s="22" t="s">
        <v>302</v>
      </c>
      <c r="E6" s="48">
        <v>339000</v>
      </c>
      <c r="F6" s="48">
        <v>0</v>
      </c>
      <c r="G6" s="45">
        <v>339000</v>
      </c>
      <c r="H6" s="45">
        <f t="shared" si="0"/>
        <v>0</v>
      </c>
      <c r="I6" s="89"/>
      <c r="J6" s="32" t="s">
        <v>481</v>
      </c>
    </row>
    <row r="7" spans="1:10" s="43" customFormat="1" ht="12.75">
      <c r="A7" s="219"/>
      <c r="B7" s="19" t="s">
        <v>242</v>
      </c>
      <c r="C7" s="21" t="s">
        <v>218</v>
      </c>
      <c r="D7" s="22" t="s">
        <v>243</v>
      </c>
      <c r="E7" s="23">
        <v>218379</v>
      </c>
      <c r="F7" s="45"/>
      <c r="G7" s="45"/>
      <c r="H7" s="45">
        <f t="shared" si="0"/>
        <v>218379</v>
      </c>
      <c r="I7" s="162" t="s">
        <v>491</v>
      </c>
      <c r="J7" s="32" t="s">
        <v>481</v>
      </c>
    </row>
    <row r="8" spans="1:10" s="43" customFormat="1" ht="25.5">
      <c r="A8" s="219"/>
      <c r="B8" s="173" t="s">
        <v>239</v>
      </c>
      <c r="C8" s="21" t="s">
        <v>26</v>
      </c>
      <c r="D8" s="22" t="s">
        <v>220</v>
      </c>
      <c r="E8" s="23">
        <v>45000</v>
      </c>
      <c r="F8" s="45"/>
      <c r="G8" s="45">
        <f>E8-F8</f>
        <v>45000</v>
      </c>
      <c r="H8" s="45">
        <f t="shared" si="0"/>
        <v>0</v>
      </c>
      <c r="I8" s="160"/>
      <c r="J8" s="32" t="s">
        <v>481</v>
      </c>
    </row>
    <row r="9" spans="1:10" s="43" customFormat="1" ht="12.75">
      <c r="A9" s="219"/>
      <c r="B9" s="19" t="s">
        <v>165</v>
      </c>
      <c r="C9" s="21" t="s">
        <v>107</v>
      </c>
      <c r="D9" s="22" t="s">
        <v>308</v>
      </c>
      <c r="E9" s="45">
        <v>120000</v>
      </c>
      <c r="F9" s="45">
        <v>0</v>
      </c>
      <c r="G9" s="45">
        <v>120000</v>
      </c>
      <c r="H9" s="45">
        <f t="shared" si="0"/>
        <v>0</v>
      </c>
      <c r="I9" s="89"/>
      <c r="J9" s="32" t="s">
        <v>481</v>
      </c>
    </row>
    <row r="10" spans="1:10" s="43" customFormat="1" ht="12.75">
      <c r="A10" s="219"/>
      <c r="B10" s="19" t="s">
        <v>166</v>
      </c>
      <c r="C10" s="21" t="s">
        <v>110</v>
      </c>
      <c r="D10" s="22" t="s">
        <v>308</v>
      </c>
      <c r="E10" s="45">
        <f>185133+22000</f>
        <v>207133</v>
      </c>
      <c r="F10" s="45">
        <v>62764.15</v>
      </c>
      <c r="G10" s="45">
        <f aca="true" t="shared" si="1" ref="G10:G15">+E10-F10</f>
        <v>144368.85</v>
      </c>
      <c r="H10" s="45">
        <f t="shared" si="0"/>
        <v>0</v>
      </c>
      <c r="I10" s="89"/>
      <c r="J10" s="32" t="s">
        <v>481</v>
      </c>
    </row>
    <row r="11" spans="1:10" s="43" customFormat="1" ht="12.75">
      <c r="A11" s="219"/>
      <c r="B11" s="19" t="s">
        <v>162</v>
      </c>
      <c r="C11" s="21" t="s">
        <v>163</v>
      </c>
      <c r="D11" s="22" t="s">
        <v>308</v>
      </c>
      <c r="E11" s="45">
        <v>64554</v>
      </c>
      <c r="F11" s="45"/>
      <c r="G11" s="45">
        <f t="shared" si="1"/>
        <v>64554</v>
      </c>
      <c r="H11" s="45">
        <f t="shared" si="0"/>
        <v>0</v>
      </c>
      <c r="I11" s="89"/>
      <c r="J11" s="32" t="s">
        <v>481</v>
      </c>
    </row>
    <row r="12" spans="1:10" s="43" customFormat="1" ht="12.75">
      <c r="A12" s="219"/>
      <c r="B12" s="19" t="s">
        <v>209</v>
      </c>
      <c r="C12" s="21" t="s">
        <v>112</v>
      </c>
      <c r="D12" s="22" t="s">
        <v>308</v>
      </c>
      <c r="E12" s="46">
        <v>135502</v>
      </c>
      <c r="F12" s="45">
        <v>70312.08</v>
      </c>
      <c r="G12" s="45">
        <f t="shared" si="1"/>
        <v>65189.92</v>
      </c>
      <c r="H12" s="45">
        <f t="shared" si="0"/>
        <v>0</v>
      </c>
      <c r="I12" s="89"/>
      <c r="J12" s="32" t="s">
        <v>481</v>
      </c>
    </row>
    <row r="13" spans="1:10" s="43" customFormat="1" ht="12.75">
      <c r="A13" s="219"/>
      <c r="B13" s="19" t="s">
        <v>216</v>
      </c>
      <c r="C13" s="21" t="s">
        <v>218</v>
      </c>
      <c r="D13" s="22" t="s">
        <v>219</v>
      </c>
      <c r="E13" s="23">
        <v>32240</v>
      </c>
      <c r="F13" s="45"/>
      <c r="G13" s="45">
        <f t="shared" si="1"/>
        <v>32240</v>
      </c>
      <c r="H13" s="45">
        <f t="shared" si="0"/>
        <v>0</v>
      </c>
      <c r="I13" s="89"/>
      <c r="J13" s="32" t="s">
        <v>481</v>
      </c>
    </row>
    <row r="14" spans="1:10" s="43" customFormat="1" ht="12.75">
      <c r="A14" s="219"/>
      <c r="B14" s="19" t="s">
        <v>217</v>
      </c>
      <c r="C14" s="21" t="s">
        <v>192</v>
      </c>
      <c r="D14" s="22" t="s">
        <v>219</v>
      </c>
      <c r="E14" s="23">
        <v>19240</v>
      </c>
      <c r="F14" s="45">
        <v>15543.55</v>
      </c>
      <c r="G14" s="45">
        <f t="shared" si="1"/>
        <v>3696.4500000000007</v>
      </c>
      <c r="H14" s="45">
        <f t="shared" si="0"/>
        <v>0</v>
      </c>
      <c r="I14" s="89"/>
      <c r="J14" s="32" t="s">
        <v>481</v>
      </c>
    </row>
    <row r="15" spans="1:10" s="43" customFormat="1" ht="12.75">
      <c r="A15" s="219"/>
      <c r="B15" s="19" t="s">
        <v>230</v>
      </c>
      <c r="C15" s="21" t="s">
        <v>110</v>
      </c>
      <c r="D15" s="22" t="s">
        <v>229</v>
      </c>
      <c r="E15" s="23">
        <v>900000</v>
      </c>
      <c r="F15" s="45"/>
      <c r="G15" s="45">
        <f t="shared" si="1"/>
        <v>900000</v>
      </c>
      <c r="H15" s="45">
        <f t="shared" si="0"/>
        <v>0</v>
      </c>
      <c r="I15" s="89" t="s">
        <v>493</v>
      </c>
      <c r="J15" s="32" t="s">
        <v>481</v>
      </c>
    </row>
    <row r="16" spans="1:10" s="43" customFormat="1" ht="12.75">
      <c r="A16" s="219"/>
      <c r="B16" s="19" t="s">
        <v>244</v>
      </c>
      <c r="C16" s="21" t="s">
        <v>54</v>
      </c>
      <c r="D16" s="22" t="s">
        <v>413</v>
      </c>
      <c r="E16" s="23">
        <v>60000</v>
      </c>
      <c r="F16" s="45">
        <v>0</v>
      </c>
      <c r="G16" s="45">
        <v>60000</v>
      </c>
      <c r="H16" s="45">
        <f t="shared" si="0"/>
        <v>0</v>
      </c>
      <c r="I16" s="89"/>
      <c r="J16" s="32" t="s">
        <v>481</v>
      </c>
    </row>
    <row r="17" spans="1:10" s="43" customFormat="1" ht="25.5">
      <c r="A17" s="219"/>
      <c r="B17" s="19" t="s">
        <v>501</v>
      </c>
      <c r="C17" s="21" t="s">
        <v>26</v>
      </c>
      <c r="D17" s="22" t="s">
        <v>504</v>
      </c>
      <c r="E17" s="23">
        <v>37000</v>
      </c>
      <c r="F17" s="45"/>
      <c r="G17" s="45">
        <v>37000</v>
      </c>
      <c r="H17" s="45"/>
      <c r="I17" s="89"/>
      <c r="J17" s="32"/>
    </row>
    <row r="18" spans="1:10" s="43" customFormat="1" ht="12.75">
      <c r="A18" s="219"/>
      <c r="B18" s="19" t="s">
        <v>502</v>
      </c>
      <c r="C18" s="21" t="s">
        <v>26</v>
      </c>
      <c r="D18" s="22" t="s">
        <v>505</v>
      </c>
      <c r="E18" s="23">
        <v>8400</v>
      </c>
      <c r="F18" s="45"/>
      <c r="G18" s="45">
        <v>8400</v>
      </c>
      <c r="H18" s="45"/>
      <c r="I18" s="89"/>
      <c r="J18" s="32"/>
    </row>
    <row r="19" spans="1:10" s="43" customFormat="1" ht="12.75">
      <c r="A19" s="219"/>
      <c r="B19" s="19" t="s">
        <v>503</v>
      </c>
      <c r="C19" s="21" t="s">
        <v>26</v>
      </c>
      <c r="D19" s="22" t="s">
        <v>506</v>
      </c>
      <c r="E19" s="23">
        <v>24000</v>
      </c>
      <c r="F19" s="45"/>
      <c r="G19" s="45">
        <v>24000</v>
      </c>
      <c r="H19" s="45"/>
      <c r="I19" s="89"/>
      <c r="J19" s="32"/>
    </row>
    <row r="20" spans="1:10" s="43" customFormat="1" ht="12.75">
      <c r="A20" s="219"/>
      <c r="B20" s="19" t="s">
        <v>499</v>
      </c>
      <c r="C20" s="21" t="s">
        <v>192</v>
      </c>
      <c r="D20" s="22" t="s">
        <v>500</v>
      </c>
      <c r="E20" s="23">
        <v>281500</v>
      </c>
      <c r="F20" s="45"/>
      <c r="G20" s="45">
        <v>281500</v>
      </c>
      <c r="H20" s="45"/>
      <c r="I20" s="89"/>
      <c r="J20" s="32" t="s">
        <v>481</v>
      </c>
    </row>
    <row r="21" spans="1:10" s="43" customFormat="1" ht="38.25">
      <c r="A21" s="219"/>
      <c r="B21" s="19" t="s">
        <v>238</v>
      </c>
      <c r="C21" s="21" t="s">
        <v>26</v>
      </c>
      <c r="D21" s="22" t="s">
        <v>157</v>
      </c>
      <c r="E21" s="45">
        <v>300000</v>
      </c>
      <c r="F21" s="45"/>
      <c r="G21" s="45">
        <v>0</v>
      </c>
      <c r="H21" s="45">
        <f t="shared" si="0"/>
        <v>300000</v>
      </c>
      <c r="I21" s="162" t="s">
        <v>482</v>
      </c>
      <c r="J21" s="32" t="s">
        <v>395</v>
      </c>
    </row>
    <row r="22" spans="1:10" s="43" customFormat="1" ht="51">
      <c r="A22" s="219"/>
      <c r="B22" s="19" t="s">
        <v>40</v>
      </c>
      <c r="C22" s="21" t="s">
        <v>201</v>
      </c>
      <c r="D22" s="22" t="s">
        <v>295</v>
      </c>
      <c r="E22" s="45">
        <v>835000</v>
      </c>
      <c r="F22" s="45">
        <v>0</v>
      </c>
      <c r="G22" s="45">
        <f>E22-F22</f>
        <v>835000</v>
      </c>
      <c r="H22" s="45">
        <f t="shared" si="0"/>
        <v>0</v>
      </c>
      <c r="I22" s="89" t="s">
        <v>515</v>
      </c>
      <c r="J22" s="32" t="s">
        <v>395</v>
      </c>
    </row>
    <row r="23" spans="1:10" s="43" customFormat="1" ht="38.25">
      <c r="A23" s="219"/>
      <c r="B23" s="19" t="s">
        <v>45</v>
      </c>
      <c r="C23" s="21" t="s">
        <v>103</v>
      </c>
      <c r="D23" s="22" t="s">
        <v>298</v>
      </c>
      <c r="E23" s="48">
        <v>2908400</v>
      </c>
      <c r="F23" s="48">
        <v>0</v>
      </c>
      <c r="G23" s="45">
        <f>E23-F23</f>
        <v>2908400</v>
      </c>
      <c r="H23" s="45">
        <f t="shared" si="0"/>
        <v>0</v>
      </c>
      <c r="I23" s="89"/>
      <c r="J23" s="32" t="s">
        <v>395</v>
      </c>
    </row>
    <row r="24" spans="1:10" s="43" customFormat="1" ht="39" thickBot="1">
      <c r="A24" s="220"/>
      <c r="B24" s="19" t="s">
        <v>51</v>
      </c>
      <c r="C24" s="21" t="s">
        <v>192</v>
      </c>
      <c r="D24" s="22" t="s">
        <v>300</v>
      </c>
      <c r="E24" s="45">
        <v>200000</v>
      </c>
      <c r="F24" s="45">
        <v>0</v>
      </c>
      <c r="G24" s="45">
        <f>+E24-F24</f>
        <v>200000</v>
      </c>
      <c r="H24" s="45">
        <f t="shared" si="0"/>
        <v>0</v>
      </c>
      <c r="I24" s="89" t="s">
        <v>483</v>
      </c>
      <c r="J24" s="32" t="s">
        <v>395</v>
      </c>
    </row>
    <row r="25" spans="1:10" s="43" customFormat="1" ht="12.75" customHeight="1">
      <c r="A25" s="215" t="s">
        <v>393</v>
      </c>
      <c r="B25" s="26" t="s">
        <v>208</v>
      </c>
      <c r="C25" s="28" t="s">
        <v>112</v>
      </c>
      <c r="D25" s="175" t="s">
        <v>170</v>
      </c>
      <c r="E25" s="176">
        <v>43061.36</v>
      </c>
      <c r="F25" s="42">
        <v>43061.36</v>
      </c>
      <c r="G25" s="42">
        <f>+E25-F25</f>
        <v>0</v>
      </c>
      <c r="H25" s="42">
        <f t="shared" si="0"/>
        <v>0</v>
      </c>
      <c r="I25" s="97"/>
      <c r="J25" s="31" t="s">
        <v>390</v>
      </c>
    </row>
    <row r="26" spans="1:10" s="43" customFormat="1" ht="12.75">
      <c r="A26" s="216"/>
      <c r="B26" s="19" t="s">
        <v>210</v>
      </c>
      <c r="C26" s="21" t="s">
        <v>192</v>
      </c>
      <c r="D26" s="43" t="s">
        <v>211</v>
      </c>
      <c r="E26" s="46">
        <v>44582</v>
      </c>
      <c r="F26" s="45">
        <v>35489.2</v>
      </c>
      <c r="G26" s="45">
        <f>+E26-F26</f>
        <v>9092.800000000003</v>
      </c>
      <c r="H26" s="45">
        <f t="shared" si="0"/>
        <v>0</v>
      </c>
      <c r="I26" s="89"/>
      <c r="J26" s="32" t="s">
        <v>390</v>
      </c>
    </row>
    <row r="27" spans="1:10" s="43" customFormat="1" ht="38.25">
      <c r="A27" s="216"/>
      <c r="B27" s="19" t="s">
        <v>43</v>
      </c>
      <c r="C27" s="21" t="s">
        <v>44</v>
      </c>
      <c r="D27" s="22" t="s">
        <v>297</v>
      </c>
      <c r="E27" s="48">
        <v>485155</v>
      </c>
      <c r="F27" s="48">
        <f>105766.72+142998.79</f>
        <v>248765.51</v>
      </c>
      <c r="G27" s="45">
        <f>E27-F27</f>
        <v>236389.49</v>
      </c>
      <c r="H27" s="45">
        <f t="shared" si="0"/>
        <v>0</v>
      </c>
      <c r="I27" s="89"/>
      <c r="J27" s="32" t="s">
        <v>389</v>
      </c>
    </row>
    <row r="28" spans="1:10" s="43" customFormat="1" ht="12.75">
      <c r="A28" s="216"/>
      <c r="B28" s="19" t="s">
        <v>47</v>
      </c>
      <c r="C28" s="21" t="s">
        <v>192</v>
      </c>
      <c r="D28" s="22" t="s">
        <v>281</v>
      </c>
      <c r="E28" s="48">
        <f>11000000-4160000-1171345-765169-70000-1000000</f>
        <v>3833486</v>
      </c>
      <c r="F28" s="48">
        <v>2145523.4</v>
      </c>
      <c r="G28" s="45">
        <f>E28-F28</f>
        <v>1687962.6</v>
      </c>
      <c r="H28" s="45">
        <f t="shared" si="0"/>
        <v>0</v>
      </c>
      <c r="I28" s="89"/>
      <c r="J28" s="32" t="s">
        <v>480</v>
      </c>
    </row>
    <row r="29" spans="1:10" s="43" customFormat="1" ht="12.75">
      <c r="A29" s="216"/>
      <c r="B29" s="19" t="s">
        <v>48</v>
      </c>
      <c r="C29" s="21" t="s">
        <v>201</v>
      </c>
      <c r="D29" s="22" t="s">
        <v>281</v>
      </c>
      <c r="E29" s="48">
        <v>6336907.32</v>
      </c>
      <c r="F29" s="48">
        <f>2816793.73+428542.89</f>
        <v>3245336.62</v>
      </c>
      <c r="G29" s="45">
        <f>E29-F29</f>
        <v>3091570.7</v>
      </c>
      <c r="H29" s="45">
        <f t="shared" si="0"/>
        <v>0</v>
      </c>
      <c r="I29" s="89"/>
      <c r="J29" s="32" t="s">
        <v>480</v>
      </c>
    </row>
    <row r="30" spans="1:10" s="43" customFormat="1" ht="12.75">
      <c r="A30" s="216"/>
      <c r="B30" s="19" t="s">
        <v>398</v>
      </c>
      <c r="C30" s="21" t="s">
        <v>110</v>
      </c>
      <c r="D30" s="22" t="s">
        <v>300</v>
      </c>
      <c r="E30" s="45">
        <v>200000</v>
      </c>
      <c r="F30" s="45">
        <v>27960</v>
      </c>
      <c r="G30" s="45">
        <f>+E30-F30</f>
        <v>172040</v>
      </c>
      <c r="H30" s="45">
        <f>+E30-F30-G30</f>
        <v>0</v>
      </c>
      <c r="I30" s="89"/>
      <c r="J30" s="32" t="s">
        <v>395</v>
      </c>
    </row>
    <row r="31" spans="1:10" s="43" customFormat="1" ht="12.75">
      <c r="A31" s="216"/>
      <c r="B31" s="19" t="s">
        <v>412</v>
      </c>
      <c r="C31" s="21" t="s">
        <v>411</v>
      </c>
      <c r="D31" s="22" t="s">
        <v>300</v>
      </c>
      <c r="E31" s="45">
        <v>200000</v>
      </c>
      <c r="F31" s="45">
        <v>0</v>
      </c>
      <c r="G31" s="45">
        <f>+E31-F31</f>
        <v>200000</v>
      </c>
      <c r="H31" s="45">
        <f>+E31-F31-G31</f>
        <v>0</v>
      </c>
      <c r="I31" s="89" t="s">
        <v>488</v>
      </c>
      <c r="J31" s="32" t="s">
        <v>395</v>
      </c>
    </row>
    <row r="32" spans="1:10" s="43" customFormat="1" ht="27" customHeight="1">
      <c r="A32" s="216"/>
      <c r="B32" s="19" t="s">
        <v>52</v>
      </c>
      <c r="C32" s="21" t="s">
        <v>183</v>
      </c>
      <c r="D32" s="22" t="s">
        <v>301</v>
      </c>
      <c r="E32" s="48">
        <v>640000</v>
      </c>
      <c r="F32" s="48">
        <f>272730.57+202007.18+21250.89</f>
        <v>495988.64</v>
      </c>
      <c r="G32" s="45">
        <f>E32-F32</f>
        <v>144011.36</v>
      </c>
      <c r="H32" s="45">
        <f t="shared" si="0"/>
        <v>0</v>
      </c>
      <c r="I32" s="89" t="s">
        <v>492</v>
      </c>
      <c r="J32" s="32" t="s">
        <v>481</v>
      </c>
    </row>
    <row r="33" spans="1:10" s="43" customFormat="1" ht="25.5" customHeight="1">
      <c r="A33" s="216"/>
      <c r="B33" s="19" t="s">
        <v>55</v>
      </c>
      <c r="C33" s="21" t="s">
        <v>54</v>
      </c>
      <c r="D33" s="22" t="s">
        <v>303</v>
      </c>
      <c r="E33" s="48">
        <v>2792738</v>
      </c>
      <c r="F33" s="48">
        <v>2792738</v>
      </c>
      <c r="G33" s="45">
        <f>E33-F33</f>
        <v>0</v>
      </c>
      <c r="H33" s="45">
        <f>+E33-F33-G33</f>
        <v>0</v>
      </c>
      <c r="I33" s="89" t="s">
        <v>490</v>
      </c>
      <c r="J33" s="32" t="s">
        <v>389</v>
      </c>
    </row>
    <row r="34" spans="1:10" s="43" customFormat="1" ht="12.75">
      <c r="A34" s="216"/>
      <c r="B34" s="19" t="s">
        <v>56</v>
      </c>
      <c r="C34" s="21" t="s">
        <v>57</v>
      </c>
      <c r="D34" s="22" t="s">
        <v>304</v>
      </c>
      <c r="E34" s="48">
        <v>4300000</v>
      </c>
      <c r="F34" s="48">
        <v>3413252.55</v>
      </c>
      <c r="G34" s="45">
        <f>E34-F34</f>
        <v>886747.4500000002</v>
      </c>
      <c r="H34" s="45">
        <f t="shared" si="0"/>
        <v>0</v>
      </c>
      <c r="I34" s="89"/>
      <c r="J34" s="32" t="s">
        <v>395</v>
      </c>
    </row>
    <row r="35" spans="1:10" s="43" customFormat="1" ht="12.75">
      <c r="A35" s="216"/>
      <c r="B35" s="19" t="s">
        <v>58</v>
      </c>
      <c r="C35" s="21" t="s">
        <v>59</v>
      </c>
      <c r="D35" s="22" t="s">
        <v>305</v>
      </c>
      <c r="E35" s="48">
        <v>745000</v>
      </c>
      <c r="F35" s="48">
        <f>43345.9+628374.86</f>
        <v>671720.76</v>
      </c>
      <c r="G35" s="45">
        <f>+E35-F35</f>
        <v>73279.23999999999</v>
      </c>
      <c r="H35" s="45">
        <f t="shared" si="0"/>
        <v>0</v>
      </c>
      <c r="I35" s="89"/>
      <c r="J35" s="32" t="s">
        <v>391</v>
      </c>
    </row>
    <row r="36" spans="1:10" s="43" customFormat="1" ht="12.75">
      <c r="A36" s="216"/>
      <c r="B36" s="19" t="s">
        <v>60</v>
      </c>
      <c r="C36" s="21" t="s">
        <v>183</v>
      </c>
      <c r="D36" s="22" t="s">
        <v>306</v>
      </c>
      <c r="E36" s="48">
        <v>1801000</v>
      </c>
      <c r="F36" s="48">
        <v>746480.04</v>
      </c>
      <c r="G36" s="45">
        <f>E36-F36</f>
        <v>1054519.96</v>
      </c>
      <c r="H36" s="45">
        <f t="shared" si="0"/>
        <v>0</v>
      </c>
      <c r="I36" s="89"/>
      <c r="J36" s="32" t="s">
        <v>389</v>
      </c>
    </row>
    <row r="37" spans="1:10" s="43" customFormat="1" ht="12.75">
      <c r="A37" s="216"/>
      <c r="B37" s="19" t="s">
        <v>213</v>
      </c>
      <c r="C37" s="21" t="s">
        <v>192</v>
      </c>
      <c r="D37" s="22" t="s">
        <v>214</v>
      </c>
      <c r="E37" s="45">
        <v>24224</v>
      </c>
      <c r="F37" s="45">
        <v>4173.17</v>
      </c>
      <c r="G37" s="45">
        <f>+E37-F37</f>
        <v>20050.83</v>
      </c>
      <c r="H37" s="45">
        <f t="shared" si="0"/>
        <v>0</v>
      </c>
      <c r="I37" s="89"/>
      <c r="J37" s="32" t="s">
        <v>391</v>
      </c>
    </row>
    <row r="38" spans="1:10" s="43" customFormat="1" ht="25.5">
      <c r="A38" s="216"/>
      <c r="B38" s="19" t="s">
        <v>215</v>
      </c>
      <c r="C38" s="21" t="s">
        <v>124</v>
      </c>
      <c r="D38" s="22" t="s">
        <v>214</v>
      </c>
      <c r="E38" s="45">
        <v>24224</v>
      </c>
      <c r="F38" s="45">
        <v>8332.77</v>
      </c>
      <c r="G38" s="45">
        <f>+E38-F38</f>
        <v>15891.23</v>
      </c>
      <c r="H38" s="45">
        <f t="shared" si="0"/>
        <v>0</v>
      </c>
      <c r="I38" s="89"/>
      <c r="J38" s="32" t="s">
        <v>391</v>
      </c>
    </row>
    <row r="39" spans="1:10" s="43" customFormat="1" ht="25.5">
      <c r="A39" s="216"/>
      <c r="B39" s="19" t="s">
        <v>237</v>
      </c>
      <c r="C39" s="21" t="s">
        <v>103</v>
      </c>
      <c r="D39" s="22" t="s">
        <v>156</v>
      </c>
      <c r="E39" s="45">
        <v>50000</v>
      </c>
      <c r="F39" s="45">
        <v>28500</v>
      </c>
      <c r="G39" s="45">
        <f>+E39-F39</f>
        <v>21500</v>
      </c>
      <c r="H39" s="45">
        <f t="shared" si="0"/>
        <v>0</v>
      </c>
      <c r="I39" s="89"/>
      <c r="J39" s="32" t="s">
        <v>395</v>
      </c>
    </row>
    <row r="40" spans="1:10" s="43" customFormat="1" ht="25.5">
      <c r="A40" s="216"/>
      <c r="B40" s="44" t="s">
        <v>245</v>
      </c>
      <c r="C40" s="21" t="s">
        <v>192</v>
      </c>
      <c r="D40" s="22" t="s">
        <v>307</v>
      </c>
      <c r="E40" s="45">
        <f>585000+700000</f>
        <v>1285000</v>
      </c>
      <c r="F40" s="45"/>
      <c r="G40" s="45">
        <f>+E40-F40</f>
        <v>1285000</v>
      </c>
      <c r="H40" s="45">
        <f>+E40-F40-G40</f>
        <v>0</v>
      </c>
      <c r="I40" s="89"/>
      <c r="J40" s="32" t="s">
        <v>395</v>
      </c>
    </row>
    <row r="41" spans="1:10" s="43" customFormat="1" ht="26.25" thickBot="1">
      <c r="A41" s="217"/>
      <c r="B41" s="33" t="s">
        <v>42</v>
      </c>
      <c r="C41" s="35" t="s">
        <v>180</v>
      </c>
      <c r="D41" s="36" t="s">
        <v>181</v>
      </c>
      <c r="E41" s="47">
        <f>+(31921361-2792738)*0.03-57502-500-100000-120334.36-44582+14849.1-1202.3</f>
        <v>564587.1299999999</v>
      </c>
      <c r="F41" s="47">
        <f>191703.91+11309.32+2979.37+74370.93+12133.33+41800.79+56758.34</f>
        <v>391055.99</v>
      </c>
      <c r="G41" s="47">
        <v>109900</v>
      </c>
      <c r="H41" s="47">
        <f t="shared" si="0"/>
        <v>63631.1399999999</v>
      </c>
      <c r="I41" s="98" t="s">
        <v>458</v>
      </c>
      <c r="J41" s="38" t="s">
        <v>390</v>
      </c>
    </row>
    <row r="42" spans="1:10" s="43" customFormat="1" ht="38.25">
      <c r="A42" s="213" t="s">
        <v>392</v>
      </c>
      <c r="B42" s="19" t="s">
        <v>49</v>
      </c>
      <c r="C42" s="21" t="s">
        <v>50</v>
      </c>
      <c r="D42" s="22" t="s">
        <v>299</v>
      </c>
      <c r="E42" s="48">
        <v>225000</v>
      </c>
      <c r="F42" s="48">
        <f>223951.51+79.45</f>
        <v>224030.96000000002</v>
      </c>
      <c r="G42" s="45">
        <f>E42-F42</f>
        <v>969.039999999979</v>
      </c>
      <c r="H42" s="45">
        <f>+E42-F42-G42</f>
        <v>0</v>
      </c>
      <c r="I42" s="89" t="s">
        <v>467</v>
      </c>
      <c r="J42" s="32" t="s">
        <v>399</v>
      </c>
    </row>
    <row r="43" spans="1:10" s="43" customFormat="1" ht="25.5">
      <c r="A43" s="213"/>
      <c r="B43" s="44" t="s">
        <v>232</v>
      </c>
      <c r="C43" s="21" t="s">
        <v>212</v>
      </c>
      <c r="D43" s="22" t="s">
        <v>228</v>
      </c>
      <c r="E43" s="45">
        <f>283650+30724</f>
        <v>314374</v>
      </c>
      <c r="F43" s="45">
        <v>314374</v>
      </c>
      <c r="G43" s="45">
        <f>E43-F43</f>
        <v>0</v>
      </c>
      <c r="H43" s="45">
        <f>+E43-F43-G43</f>
        <v>0</v>
      </c>
      <c r="I43" s="89"/>
      <c r="J43" s="32" t="s">
        <v>395</v>
      </c>
    </row>
    <row r="44" spans="1:10" s="43" customFormat="1" ht="13.5" thickBot="1">
      <c r="A44" s="214"/>
      <c r="B44" s="109" t="s">
        <v>233</v>
      </c>
      <c r="C44" s="35" t="s">
        <v>212</v>
      </c>
      <c r="D44" s="36" t="s">
        <v>227</v>
      </c>
      <c r="E44" s="47">
        <f>213454.54+1202.3</f>
        <v>214656.84</v>
      </c>
      <c r="F44" s="47">
        <f>213454.54+1202.3</f>
        <v>214656.84</v>
      </c>
      <c r="G44" s="47"/>
      <c r="H44" s="47">
        <f t="shared" si="0"/>
        <v>0</v>
      </c>
      <c r="I44" s="98"/>
      <c r="J44" s="38" t="s">
        <v>390</v>
      </c>
    </row>
    <row r="45" spans="1:10" s="43" customFormat="1" ht="26.25" thickBot="1">
      <c r="A45" s="185"/>
      <c r="B45" s="109"/>
      <c r="C45" s="35"/>
      <c r="D45" s="36" t="s">
        <v>516</v>
      </c>
      <c r="E45" s="47">
        <v>165000</v>
      </c>
      <c r="F45" s="47"/>
      <c r="G45" s="47"/>
      <c r="H45" s="47">
        <v>165000</v>
      </c>
      <c r="I45" s="98" t="s">
        <v>517</v>
      </c>
      <c r="J45" s="38" t="s">
        <v>390</v>
      </c>
    </row>
    <row r="46" spans="1:10" ht="13.5" thickBot="1">
      <c r="A46" s="138"/>
      <c r="B46" s="212" t="s">
        <v>61</v>
      </c>
      <c r="C46" s="212"/>
      <c r="D46" s="212"/>
      <c r="E46" s="139">
        <f>SUM(E2:E45)</f>
        <v>31921360.65</v>
      </c>
      <c r="F46" s="139">
        <f>SUM(F2:F44)</f>
        <v>15271693.57</v>
      </c>
      <c r="G46" s="139">
        <f>SUM(G2:G44)</f>
        <v>15130652.94</v>
      </c>
      <c r="H46" s="139">
        <f>SUM(H2:H44)</f>
        <v>1354014.14</v>
      </c>
      <c r="I46" s="130"/>
      <c r="J46" s="131"/>
    </row>
    <row r="47" spans="5:10" ht="12.75">
      <c r="E47" s="50"/>
      <c r="F47" s="50"/>
      <c r="I47" s="41"/>
      <c r="J47" s="41"/>
    </row>
    <row r="48" spans="5:8" ht="12.75">
      <c r="E48" s="163"/>
      <c r="F48" s="163">
        <f>+F46/E46</f>
        <v>0.4784161219644001</v>
      </c>
      <c r="G48" s="163">
        <f>+G46/E46</f>
        <v>0.47399774420330043</v>
      </c>
      <c r="H48" s="163">
        <f>+H46/E46</f>
        <v>0.04241718123628919</v>
      </c>
    </row>
    <row r="49" spans="5:7" ht="12.75">
      <c r="E49" s="184">
        <f>31921361-E46</f>
        <v>0.3500000014901161</v>
      </c>
      <c r="F49" s="52"/>
      <c r="G49" s="52"/>
    </row>
    <row r="50" spans="5:7" ht="12.75">
      <c r="E50" s="163"/>
      <c r="F50" s="183"/>
      <c r="G50" s="50"/>
    </row>
    <row r="51" ht="12.75">
      <c r="G51" s="50"/>
    </row>
    <row r="52" ht="12.75">
      <c r="G52" s="50"/>
    </row>
    <row r="53" ht="12.75">
      <c r="G53" s="50"/>
    </row>
    <row r="54" ht="12.75">
      <c r="G54" s="50"/>
    </row>
    <row r="55" ht="12.75">
      <c r="G55" s="50"/>
    </row>
    <row r="56" ht="12.75">
      <c r="G56" s="53"/>
    </row>
    <row r="59" ht="12.75">
      <c r="G59" s="53"/>
    </row>
  </sheetData>
  <mergeCells count="5">
    <mergeCell ref="A2:J2"/>
    <mergeCell ref="B46:D46"/>
    <mergeCell ref="A42:A44"/>
    <mergeCell ref="A25:A41"/>
    <mergeCell ref="A3:A24"/>
  </mergeCells>
  <printOptions gridLines="1" horizontalCentered="1"/>
  <pageMargins left="0.25" right="0.25" top="0.86" bottom="0.75" header="0.5" footer="0.5"/>
  <pageSetup fitToHeight="2" fitToWidth="1" horizontalDpi="600" verticalDpi="600" orientation="landscape" scale="82" r:id="rId1"/>
  <headerFooter alignWithMargins="0">
    <oddHeader>&amp;C&amp;"Trebuchet MS,Regular"&amp;F
&amp;A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="85" zoomScaleNormal="85" zoomScaleSheetLayoutView="100" workbookViewId="0" topLeftCell="A1">
      <pane xSplit="3" ySplit="2" topLeftCell="D3" activePane="bottomRight" state="frozen"/>
      <selection pane="topLeft" activeCell="C21" sqref="C21"/>
      <selection pane="topRight" activeCell="C21" sqref="C21"/>
      <selection pane="bottomLeft" activeCell="C21" sqref="C21"/>
      <selection pane="bottomRight" activeCell="C21" sqref="C21"/>
    </sheetView>
  </sheetViews>
  <sheetFormatPr defaultColWidth="9.140625" defaultRowHeight="12.75"/>
  <cols>
    <col min="1" max="1" width="3.421875" style="43" customWidth="1"/>
    <col min="2" max="2" width="10.28125" style="43" bestFit="1" customWidth="1"/>
    <col min="3" max="3" width="18.8515625" style="43" customWidth="1"/>
    <col min="4" max="4" width="45.421875" style="43" customWidth="1"/>
    <col min="5" max="5" width="13.57421875" style="43" customWidth="1"/>
    <col min="6" max="6" width="13.00390625" style="45" customWidth="1"/>
    <col min="7" max="7" width="13.28125" style="45" customWidth="1"/>
    <col min="8" max="8" width="14.140625" style="45" bestFit="1" customWidth="1"/>
    <col min="9" max="9" width="18.7109375" style="89" customWidth="1"/>
    <col min="10" max="10" width="15.140625" style="89" customWidth="1"/>
    <col min="11" max="16384" width="9.140625" style="43" customWidth="1"/>
  </cols>
  <sheetData>
    <row r="1" spans="1:10" s="18" customFormat="1" ht="39" thickBot="1">
      <c r="A1" s="126"/>
      <c r="B1" s="133" t="s">
        <v>83</v>
      </c>
      <c r="C1" s="133" t="s">
        <v>176</v>
      </c>
      <c r="D1" s="133" t="s">
        <v>262</v>
      </c>
      <c r="E1" s="134" t="s">
        <v>77</v>
      </c>
      <c r="F1" s="135" t="s">
        <v>260</v>
      </c>
      <c r="G1" s="136" t="s">
        <v>258</v>
      </c>
      <c r="H1" s="136" t="s">
        <v>259</v>
      </c>
      <c r="I1" s="135" t="s">
        <v>177</v>
      </c>
      <c r="J1" s="137" t="s">
        <v>387</v>
      </c>
    </row>
    <row r="2" spans="1:10" ht="13.5" thickBot="1">
      <c r="A2" s="209" t="s">
        <v>84</v>
      </c>
      <c r="B2" s="210"/>
      <c r="C2" s="210"/>
      <c r="D2" s="210"/>
      <c r="E2" s="210"/>
      <c r="F2" s="210"/>
      <c r="G2" s="210"/>
      <c r="H2" s="210"/>
      <c r="I2" s="210"/>
      <c r="J2" s="211"/>
    </row>
    <row r="3" spans="1:10" ht="25.5" customHeight="1">
      <c r="A3" s="221" t="s">
        <v>396</v>
      </c>
      <c r="B3" s="28" t="s">
        <v>98</v>
      </c>
      <c r="C3" s="28" t="s">
        <v>97</v>
      </c>
      <c r="D3" s="29" t="s">
        <v>317</v>
      </c>
      <c r="E3" s="113">
        <v>2630000</v>
      </c>
      <c r="F3" s="42"/>
      <c r="G3" s="42">
        <f>E3-F3</f>
        <v>2630000</v>
      </c>
      <c r="H3" s="42">
        <f>+E3-G3-F3</f>
        <v>0</v>
      </c>
      <c r="I3" s="97" t="s">
        <v>470</v>
      </c>
      <c r="J3" s="31" t="s">
        <v>480</v>
      </c>
    </row>
    <row r="4" spans="1:10" ht="25.5" customHeight="1">
      <c r="A4" s="222"/>
      <c r="B4" s="21" t="s">
        <v>111</v>
      </c>
      <c r="C4" s="21" t="s">
        <v>247</v>
      </c>
      <c r="D4" s="22" t="s">
        <v>322</v>
      </c>
      <c r="E4" s="86">
        <v>118608.59</v>
      </c>
      <c r="G4" s="86">
        <v>118608.59</v>
      </c>
      <c r="I4" s="89" t="s">
        <v>470</v>
      </c>
      <c r="J4" s="32" t="s">
        <v>480</v>
      </c>
    </row>
    <row r="5" spans="1:10" ht="38.25">
      <c r="A5" s="222"/>
      <c r="B5" s="21" t="s">
        <v>222</v>
      </c>
      <c r="C5" s="21" t="s">
        <v>194</v>
      </c>
      <c r="D5" s="22" t="s">
        <v>401</v>
      </c>
      <c r="E5" s="86">
        <v>300000</v>
      </c>
      <c r="G5" s="45">
        <v>0</v>
      </c>
      <c r="H5" s="45">
        <f>+E5-G5-F5</f>
        <v>300000</v>
      </c>
      <c r="I5" s="162" t="s">
        <v>224</v>
      </c>
      <c r="J5" s="32" t="s">
        <v>465</v>
      </c>
    </row>
    <row r="6" spans="1:10" ht="76.5">
      <c r="A6" s="222"/>
      <c r="B6" s="110" t="s">
        <v>159</v>
      </c>
      <c r="C6" s="21" t="s">
        <v>160</v>
      </c>
      <c r="D6" s="44" t="s">
        <v>6</v>
      </c>
      <c r="E6" s="86">
        <v>1000000</v>
      </c>
      <c r="H6" s="45">
        <v>1000000</v>
      </c>
      <c r="I6" s="89" t="s">
        <v>464</v>
      </c>
      <c r="J6" s="32" t="s">
        <v>389</v>
      </c>
    </row>
    <row r="7" spans="1:10" ht="13.5" thickBot="1">
      <c r="A7" s="223"/>
      <c r="B7" s="35" t="s">
        <v>151</v>
      </c>
      <c r="C7" s="35" t="s">
        <v>152</v>
      </c>
      <c r="D7" s="36" t="s">
        <v>16</v>
      </c>
      <c r="E7" s="114">
        <v>50000</v>
      </c>
      <c r="F7" s="47"/>
      <c r="G7" s="47">
        <f>+E7-F7</f>
        <v>50000</v>
      </c>
      <c r="H7" s="47">
        <f>+E7-G7-F7</f>
        <v>0</v>
      </c>
      <c r="I7" s="98"/>
      <c r="J7" s="38" t="s">
        <v>480</v>
      </c>
    </row>
    <row r="8" spans="1:10" ht="38.25" customHeight="1">
      <c r="A8" s="218" t="s">
        <v>394</v>
      </c>
      <c r="B8" s="21" t="s">
        <v>85</v>
      </c>
      <c r="C8" s="21" t="s">
        <v>173</v>
      </c>
      <c r="D8" s="22" t="s">
        <v>309</v>
      </c>
      <c r="E8" s="86">
        <v>1000000</v>
      </c>
      <c r="G8" s="45">
        <f>E8-F8</f>
        <v>1000000</v>
      </c>
      <c r="H8" s="45">
        <f aca="true" t="shared" si="0" ref="H8:H14">+E8-G8-F8</f>
        <v>0</v>
      </c>
      <c r="I8" s="89" t="s">
        <v>468</v>
      </c>
      <c r="J8" s="32" t="s">
        <v>395</v>
      </c>
    </row>
    <row r="9" spans="1:10" ht="25.5">
      <c r="A9" s="219"/>
      <c r="B9" s="21" t="s">
        <v>87</v>
      </c>
      <c r="C9" s="21" t="s">
        <v>82</v>
      </c>
      <c r="D9" s="22" t="s">
        <v>382</v>
      </c>
      <c r="E9" s="86">
        <f>8500000-700000+1000000</f>
        <v>8800000</v>
      </c>
      <c r="G9" s="45">
        <f>E9-F9</f>
        <v>8800000</v>
      </c>
      <c r="H9" s="45">
        <f t="shared" si="0"/>
        <v>0</v>
      </c>
      <c r="I9" s="89" t="s">
        <v>471</v>
      </c>
      <c r="J9" s="32" t="s">
        <v>395</v>
      </c>
    </row>
    <row r="10" spans="1:10" ht="38.25">
      <c r="A10" s="219"/>
      <c r="B10" s="21" t="s">
        <v>90</v>
      </c>
      <c r="C10" s="21" t="s">
        <v>183</v>
      </c>
      <c r="D10" s="22" t="s">
        <v>313</v>
      </c>
      <c r="E10" s="86">
        <v>425000</v>
      </c>
      <c r="G10" s="45">
        <f>E10-F10</f>
        <v>425000</v>
      </c>
      <c r="H10" s="45">
        <f t="shared" si="0"/>
        <v>0</v>
      </c>
      <c r="J10" s="32" t="s">
        <v>389</v>
      </c>
    </row>
    <row r="11" spans="1:10" ht="25.5">
      <c r="A11" s="219"/>
      <c r="B11" s="21" t="s">
        <v>95</v>
      </c>
      <c r="C11" s="21" t="s">
        <v>92</v>
      </c>
      <c r="D11" s="22" t="s">
        <v>316</v>
      </c>
      <c r="E11" s="86">
        <v>42371.97</v>
      </c>
      <c r="F11" s="45">
        <v>6865.77</v>
      </c>
      <c r="G11" s="45">
        <f>E11-F11</f>
        <v>35506.2</v>
      </c>
      <c r="H11" s="45">
        <f t="shared" si="0"/>
        <v>0</v>
      </c>
      <c r="J11" s="32" t="s">
        <v>391</v>
      </c>
    </row>
    <row r="12" spans="1:10" ht="25.5">
      <c r="A12" s="219"/>
      <c r="B12" s="21" t="s">
        <v>96</v>
      </c>
      <c r="C12" s="21" t="s">
        <v>97</v>
      </c>
      <c r="D12" s="22" t="s">
        <v>316</v>
      </c>
      <c r="E12" s="86">
        <v>34361</v>
      </c>
      <c r="F12" s="45">
        <v>12601.45</v>
      </c>
      <c r="G12" s="45">
        <f>E12-F12</f>
        <v>21759.55</v>
      </c>
      <c r="H12" s="45">
        <f t="shared" si="0"/>
        <v>0</v>
      </c>
      <c r="J12" s="32" t="s">
        <v>391</v>
      </c>
    </row>
    <row r="13" spans="1:10" ht="25.5">
      <c r="A13" s="219"/>
      <c r="B13" s="21" t="s">
        <v>104</v>
      </c>
      <c r="C13" s="21" t="s">
        <v>105</v>
      </c>
      <c r="D13" s="22" t="s">
        <v>320</v>
      </c>
      <c r="E13" s="86">
        <f>2200000-250000-SUM(E15:E18)</f>
        <v>1375159</v>
      </c>
      <c r="G13" s="45">
        <v>0</v>
      </c>
      <c r="H13" s="45">
        <f t="shared" si="0"/>
        <v>1375159</v>
      </c>
      <c r="I13" s="162" t="s">
        <v>507</v>
      </c>
      <c r="J13" s="32" t="s">
        <v>481</v>
      </c>
    </row>
    <row r="14" spans="1:10" ht="25.5">
      <c r="A14" s="219"/>
      <c r="B14" s="21" t="s">
        <v>106</v>
      </c>
      <c r="C14" s="21" t="s">
        <v>107</v>
      </c>
      <c r="D14" s="22" t="s">
        <v>321</v>
      </c>
      <c r="E14" s="86">
        <v>250000</v>
      </c>
      <c r="G14" s="45">
        <f>+E14-F14</f>
        <v>250000</v>
      </c>
      <c r="H14" s="45">
        <f t="shared" si="0"/>
        <v>0</v>
      </c>
      <c r="J14" s="32" t="s">
        <v>481</v>
      </c>
    </row>
    <row r="15" spans="1:10" ht="25.5">
      <c r="A15" s="219"/>
      <c r="B15" s="21" t="s">
        <v>509</v>
      </c>
      <c r="C15" s="21" t="s">
        <v>510</v>
      </c>
      <c r="D15" s="22" t="s">
        <v>321</v>
      </c>
      <c r="E15" s="86">
        <v>124989</v>
      </c>
      <c r="G15" s="45">
        <v>124989</v>
      </c>
      <c r="J15" s="32" t="s">
        <v>481</v>
      </c>
    </row>
    <row r="16" spans="1:10" ht="25.5">
      <c r="A16" s="219"/>
      <c r="B16" s="21" t="s">
        <v>508</v>
      </c>
      <c r="C16" s="21" t="s">
        <v>112</v>
      </c>
      <c r="D16" s="22" t="s">
        <v>321</v>
      </c>
      <c r="E16" s="86">
        <v>250000</v>
      </c>
      <c r="G16" s="45">
        <v>250000</v>
      </c>
      <c r="J16" s="32" t="s">
        <v>481</v>
      </c>
    </row>
    <row r="17" spans="1:10" ht="12.75">
      <c r="A17" s="219"/>
      <c r="B17" s="21" t="s">
        <v>511</v>
      </c>
      <c r="C17" s="21" t="s">
        <v>192</v>
      </c>
      <c r="D17" s="22" t="s">
        <v>512</v>
      </c>
      <c r="E17" s="86">
        <v>149852</v>
      </c>
      <c r="G17" s="45">
        <v>149852</v>
      </c>
      <c r="J17" s="32" t="s">
        <v>481</v>
      </c>
    </row>
    <row r="18" spans="1:10" ht="25.5">
      <c r="A18" s="219"/>
      <c r="B18" s="21" t="s">
        <v>513</v>
      </c>
      <c r="C18" s="21" t="s">
        <v>192</v>
      </c>
      <c r="D18" s="22" t="s">
        <v>514</v>
      </c>
      <c r="E18" s="86">
        <v>50000</v>
      </c>
      <c r="G18" s="45">
        <v>50000</v>
      </c>
      <c r="J18" s="32" t="s">
        <v>481</v>
      </c>
    </row>
    <row r="19" spans="1:10" ht="38.25">
      <c r="A19" s="219"/>
      <c r="B19" s="21" t="s">
        <v>109</v>
      </c>
      <c r="C19" s="21" t="s">
        <v>246</v>
      </c>
      <c r="D19" s="22" t="s">
        <v>322</v>
      </c>
      <c r="E19" s="86">
        <v>417300</v>
      </c>
      <c r="G19" s="45">
        <v>417300</v>
      </c>
      <c r="H19" s="45">
        <v>0</v>
      </c>
      <c r="I19" s="89" t="s">
        <v>484</v>
      </c>
      <c r="J19" s="32" t="s">
        <v>480</v>
      </c>
    </row>
    <row r="20" spans="1:10" ht="51">
      <c r="A20" s="219"/>
      <c r="B20" s="21" t="s">
        <v>252</v>
      </c>
      <c r="C20" s="21" t="s">
        <v>253</v>
      </c>
      <c r="D20" s="22" t="s">
        <v>322</v>
      </c>
      <c r="E20" s="86">
        <v>33100.3</v>
      </c>
      <c r="G20" s="86">
        <f>+E20-F20</f>
        <v>33100.3</v>
      </c>
      <c r="H20" s="86">
        <v>0</v>
      </c>
      <c r="I20" s="89" t="s">
        <v>466</v>
      </c>
      <c r="J20" s="32" t="s">
        <v>480</v>
      </c>
    </row>
    <row r="21" spans="1:10" ht="12.75">
      <c r="A21" s="219"/>
      <c r="B21" s="21" t="s">
        <v>113</v>
      </c>
      <c r="C21" s="21" t="s">
        <v>114</v>
      </c>
      <c r="D21" s="22" t="s">
        <v>323</v>
      </c>
      <c r="E21" s="86">
        <v>250000</v>
      </c>
      <c r="G21" s="45">
        <f aca="true" t="shared" si="1" ref="G21:G26">+E21-F21</f>
        <v>250000</v>
      </c>
      <c r="H21" s="45">
        <f aca="true" t="shared" si="2" ref="H21:H34">+E21-G21-F21</f>
        <v>0</v>
      </c>
      <c r="I21" s="89" t="s">
        <v>485</v>
      </c>
      <c r="J21" s="32" t="s">
        <v>480</v>
      </c>
    </row>
    <row r="22" spans="1:10" ht="12.75">
      <c r="A22" s="219"/>
      <c r="B22" s="21" t="s">
        <v>127</v>
      </c>
      <c r="C22" s="21" t="s">
        <v>126</v>
      </c>
      <c r="D22" s="22" t="s">
        <v>330</v>
      </c>
      <c r="E22" s="86">
        <v>512500</v>
      </c>
      <c r="G22" s="45">
        <f>+E22-F22</f>
        <v>512500</v>
      </c>
      <c r="H22" s="45">
        <f>+E22-G22-F22</f>
        <v>0</v>
      </c>
      <c r="J22" s="32"/>
    </row>
    <row r="23" spans="1:10" ht="12.75">
      <c r="A23" s="219"/>
      <c r="B23" s="21" t="s">
        <v>128</v>
      </c>
      <c r="C23" s="21" t="s">
        <v>126</v>
      </c>
      <c r="D23" s="22" t="s">
        <v>0</v>
      </c>
      <c r="E23" s="86">
        <f>912000/3</f>
        <v>304000</v>
      </c>
      <c r="G23" s="45">
        <f t="shared" si="1"/>
        <v>304000</v>
      </c>
      <c r="H23" s="45">
        <f t="shared" si="2"/>
        <v>0</v>
      </c>
      <c r="J23" s="174"/>
    </row>
    <row r="24" spans="1:10" ht="12.75">
      <c r="A24" s="219"/>
      <c r="B24" s="21" t="s">
        <v>129</v>
      </c>
      <c r="C24" s="21" t="s">
        <v>110</v>
      </c>
      <c r="D24" s="22" t="s">
        <v>0</v>
      </c>
      <c r="E24" s="86">
        <v>304000</v>
      </c>
      <c r="G24" s="45">
        <f t="shared" si="1"/>
        <v>304000</v>
      </c>
      <c r="H24" s="45">
        <f t="shared" si="2"/>
        <v>0</v>
      </c>
      <c r="J24" s="174"/>
    </row>
    <row r="25" spans="1:10" ht="12.75">
      <c r="A25" s="219"/>
      <c r="B25" s="21" t="s">
        <v>130</v>
      </c>
      <c r="C25" s="21" t="s">
        <v>131</v>
      </c>
      <c r="D25" s="22" t="s">
        <v>0</v>
      </c>
      <c r="E25" s="86">
        <v>304000</v>
      </c>
      <c r="G25" s="45">
        <f t="shared" si="1"/>
        <v>304000</v>
      </c>
      <c r="H25" s="45">
        <f t="shared" si="2"/>
        <v>0</v>
      </c>
      <c r="J25" s="174"/>
    </row>
    <row r="26" spans="1:10" ht="12.75">
      <c r="A26" s="219"/>
      <c r="B26" s="21" t="s">
        <v>133</v>
      </c>
      <c r="C26" s="21" t="s">
        <v>192</v>
      </c>
      <c r="D26" s="22" t="s">
        <v>2</v>
      </c>
      <c r="E26" s="86">
        <v>305000</v>
      </c>
      <c r="G26" s="45">
        <f t="shared" si="1"/>
        <v>305000</v>
      </c>
      <c r="H26" s="45">
        <f t="shared" si="2"/>
        <v>0</v>
      </c>
      <c r="J26" s="32" t="s">
        <v>395</v>
      </c>
    </row>
    <row r="27" spans="1:10" ht="12.75">
      <c r="A27" s="219"/>
      <c r="B27" s="21" t="s">
        <v>414</v>
      </c>
      <c r="C27" s="21" t="s">
        <v>192</v>
      </c>
      <c r="D27" s="22" t="s">
        <v>415</v>
      </c>
      <c r="E27" s="86">
        <v>100000</v>
      </c>
      <c r="G27" s="45">
        <v>100000</v>
      </c>
      <c r="J27" s="32" t="s">
        <v>390</v>
      </c>
    </row>
    <row r="28" spans="1:10" ht="25.5">
      <c r="A28" s="219"/>
      <c r="B28" s="21" t="s">
        <v>136</v>
      </c>
      <c r="C28" s="21" t="s">
        <v>59</v>
      </c>
      <c r="D28" s="22" t="s">
        <v>4</v>
      </c>
      <c r="E28" s="86">
        <v>650816</v>
      </c>
      <c r="F28" s="45">
        <v>151601.89</v>
      </c>
      <c r="G28" s="45">
        <f aca="true" t="shared" si="3" ref="G28:G34">+E28-F28</f>
        <v>499214.11</v>
      </c>
      <c r="H28" s="45">
        <f t="shared" si="2"/>
        <v>0</v>
      </c>
      <c r="I28" s="89" t="s">
        <v>498</v>
      </c>
      <c r="J28" s="32" t="s">
        <v>391</v>
      </c>
    </row>
    <row r="29" spans="1:10" ht="25.5">
      <c r="A29" s="219"/>
      <c r="B29" s="21" t="s">
        <v>142</v>
      </c>
      <c r="C29" s="21" t="s">
        <v>82</v>
      </c>
      <c r="D29" s="22" t="s">
        <v>8</v>
      </c>
      <c r="E29" s="86">
        <v>3897088</v>
      </c>
      <c r="G29" s="45">
        <f t="shared" si="3"/>
        <v>3897088</v>
      </c>
      <c r="H29" s="45">
        <f t="shared" si="2"/>
        <v>0</v>
      </c>
      <c r="J29" s="32" t="s">
        <v>395</v>
      </c>
    </row>
    <row r="30" spans="1:10" ht="38.25">
      <c r="A30" s="219"/>
      <c r="B30" s="21" t="s">
        <v>143</v>
      </c>
      <c r="C30" s="21" t="s">
        <v>144</v>
      </c>
      <c r="D30" s="22" t="s">
        <v>9</v>
      </c>
      <c r="E30" s="86">
        <f>8505319+805000-1000000</f>
        <v>8310319</v>
      </c>
      <c r="G30" s="45">
        <f t="shared" si="3"/>
        <v>8310319</v>
      </c>
      <c r="H30" s="45">
        <f t="shared" si="2"/>
        <v>0</v>
      </c>
      <c r="I30" s="89" t="s">
        <v>261</v>
      </c>
      <c r="J30" s="32" t="s">
        <v>390</v>
      </c>
    </row>
    <row r="31" spans="1:10" ht="39" customHeight="1">
      <c r="A31" s="219"/>
      <c r="B31" s="21" t="s">
        <v>462</v>
      </c>
      <c r="C31" s="21" t="s">
        <v>82</v>
      </c>
      <c r="D31" s="22" t="s">
        <v>459</v>
      </c>
      <c r="E31" s="164" t="s">
        <v>460</v>
      </c>
      <c r="F31" s="165"/>
      <c r="G31" s="164" t="s">
        <v>460</v>
      </c>
      <c r="H31" s="45">
        <f t="shared" si="2"/>
        <v>0</v>
      </c>
      <c r="I31" s="89" t="s">
        <v>461</v>
      </c>
      <c r="J31" s="32"/>
    </row>
    <row r="32" spans="1:10" ht="12.75">
      <c r="A32" s="219"/>
      <c r="B32" s="177"/>
      <c r="C32" s="177" t="s">
        <v>486</v>
      </c>
      <c r="D32" s="178"/>
      <c r="E32" s="182">
        <v>1000000</v>
      </c>
      <c r="F32" s="179"/>
      <c r="G32" s="182">
        <f>+E32-F32</f>
        <v>1000000</v>
      </c>
      <c r="H32" s="179">
        <f t="shared" si="2"/>
        <v>0</v>
      </c>
      <c r="I32" s="180"/>
      <c r="J32" s="181"/>
    </row>
    <row r="33" spans="1:10" ht="25.5">
      <c r="A33" s="219"/>
      <c r="B33" s="21" t="s">
        <v>147</v>
      </c>
      <c r="C33" s="21" t="s">
        <v>103</v>
      </c>
      <c r="D33" s="22" t="s">
        <v>12</v>
      </c>
      <c r="E33" s="86">
        <v>3000000</v>
      </c>
      <c r="G33" s="45">
        <f t="shared" si="3"/>
        <v>3000000</v>
      </c>
      <c r="H33" s="45">
        <f t="shared" si="2"/>
        <v>0</v>
      </c>
      <c r="J33" s="32" t="s">
        <v>391</v>
      </c>
    </row>
    <row r="34" spans="1:10" ht="12.75">
      <c r="A34" s="219"/>
      <c r="B34" s="21" t="s">
        <v>153</v>
      </c>
      <c r="C34" s="21" t="s">
        <v>152</v>
      </c>
      <c r="D34" s="22" t="s">
        <v>17</v>
      </c>
      <c r="E34" s="86">
        <v>250000</v>
      </c>
      <c r="G34" s="45">
        <f t="shared" si="3"/>
        <v>250000</v>
      </c>
      <c r="H34" s="45">
        <f t="shared" si="2"/>
        <v>0</v>
      </c>
      <c r="J34" s="32" t="s">
        <v>389</v>
      </c>
    </row>
    <row r="35" spans="1:10" ht="38.25">
      <c r="A35" s="219"/>
      <c r="B35" s="21"/>
      <c r="C35" s="21" t="s">
        <v>192</v>
      </c>
      <c r="D35" s="22" t="s">
        <v>231</v>
      </c>
      <c r="E35" s="86">
        <v>80000</v>
      </c>
      <c r="F35" s="45">
        <v>0</v>
      </c>
      <c r="G35" s="45">
        <v>0</v>
      </c>
      <c r="H35" s="45">
        <f>E35</f>
        <v>80000</v>
      </c>
      <c r="I35" s="162" t="s">
        <v>463</v>
      </c>
      <c r="J35" s="32" t="s">
        <v>395</v>
      </c>
    </row>
    <row r="36" spans="1:10" ht="26.25" thickBot="1">
      <c r="A36" s="220"/>
      <c r="B36" s="35" t="s">
        <v>146</v>
      </c>
      <c r="C36" s="35" t="s">
        <v>416</v>
      </c>
      <c r="D36" s="36" t="s">
        <v>11</v>
      </c>
      <c r="E36" s="114">
        <v>2900000</v>
      </c>
      <c r="F36" s="47"/>
      <c r="G36" s="47">
        <v>2900000</v>
      </c>
      <c r="H36" s="47">
        <f>+E36-G36-F36</f>
        <v>0</v>
      </c>
      <c r="I36" s="98" t="s">
        <v>496</v>
      </c>
      <c r="J36" s="38" t="s">
        <v>389</v>
      </c>
    </row>
    <row r="37" spans="1:10" ht="25.5" customHeight="1">
      <c r="A37" s="215" t="s">
        <v>393</v>
      </c>
      <c r="B37" s="28" t="s">
        <v>86</v>
      </c>
      <c r="C37" s="28" t="s">
        <v>81</v>
      </c>
      <c r="D37" s="29" t="s">
        <v>310</v>
      </c>
      <c r="E37" s="113">
        <v>1000000</v>
      </c>
      <c r="F37" s="42"/>
      <c r="G37" s="42">
        <f aca="true" t="shared" si="4" ref="G37:G44">E37-F37</f>
        <v>1000000</v>
      </c>
      <c r="H37" s="42">
        <f aca="true" t="shared" si="5" ref="H37:H69">+E37-G37-F37</f>
        <v>0</v>
      </c>
      <c r="I37" s="97"/>
      <c r="J37" s="31" t="s">
        <v>389</v>
      </c>
    </row>
    <row r="38" spans="1:10" ht="12.75">
      <c r="A38" s="216"/>
      <c r="B38" s="21" t="s">
        <v>88</v>
      </c>
      <c r="C38" s="21" t="s">
        <v>183</v>
      </c>
      <c r="D38" s="22" t="s">
        <v>311</v>
      </c>
      <c r="E38" s="86">
        <v>540000</v>
      </c>
      <c r="G38" s="45">
        <f t="shared" si="4"/>
        <v>540000</v>
      </c>
      <c r="H38" s="45">
        <f t="shared" si="5"/>
        <v>0</v>
      </c>
      <c r="J38" s="32" t="s">
        <v>391</v>
      </c>
    </row>
    <row r="39" spans="1:10" ht="12.75">
      <c r="A39" s="216"/>
      <c r="B39" s="21" t="s">
        <v>89</v>
      </c>
      <c r="C39" s="21" t="s">
        <v>183</v>
      </c>
      <c r="D39" s="22" t="s">
        <v>312</v>
      </c>
      <c r="E39" s="86">
        <v>50000</v>
      </c>
      <c r="G39" s="45">
        <f t="shared" si="4"/>
        <v>50000</v>
      </c>
      <c r="H39" s="45">
        <f t="shared" si="5"/>
        <v>0</v>
      </c>
      <c r="J39" s="32" t="s">
        <v>391</v>
      </c>
    </row>
    <row r="40" spans="1:10" ht="25.5" customHeight="1">
      <c r="A40" s="216"/>
      <c r="B40" s="21" t="s">
        <v>91</v>
      </c>
      <c r="C40" s="21" t="s">
        <v>92</v>
      </c>
      <c r="D40" s="22" t="s">
        <v>314</v>
      </c>
      <c r="E40" s="86">
        <v>786674</v>
      </c>
      <c r="F40" s="45">
        <v>26307.91</v>
      </c>
      <c r="G40" s="45">
        <f>E40-F40</f>
        <v>760366.09</v>
      </c>
      <c r="H40" s="45">
        <f>+E40-G40-F40</f>
        <v>3.2741809263825417E-11</v>
      </c>
      <c r="J40" s="32" t="s">
        <v>480</v>
      </c>
    </row>
    <row r="41" spans="1:10" ht="12.75">
      <c r="A41" s="216"/>
      <c r="B41" s="21" t="s">
        <v>93</v>
      </c>
      <c r="C41" s="21" t="s">
        <v>94</v>
      </c>
      <c r="D41" s="22" t="s">
        <v>315</v>
      </c>
      <c r="E41" s="86">
        <v>1265190</v>
      </c>
      <c r="G41" s="45">
        <f t="shared" si="4"/>
        <v>1265190</v>
      </c>
      <c r="H41" s="45">
        <f t="shared" si="5"/>
        <v>0</v>
      </c>
      <c r="J41" s="32" t="s">
        <v>481</v>
      </c>
    </row>
    <row r="42" spans="1:10" ht="25.5">
      <c r="A42" s="216"/>
      <c r="B42" s="21" t="s">
        <v>99</v>
      </c>
      <c r="C42" s="21" t="s">
        <v>100</v>
      </c>
      <c r="D42" s="22" t="s">
        <v>318</v>
      </c>
      <c r="E42" s="86">
        <v>326885</v>
      </c>
      <c r="G42" s="45">
        <f t="shared" si="4"/>
        <v>326885</v>
      </c>
      <c r="H42" s="45">
        <f t="shared" si="5"/>
        <v>0</v>
      </c>
      <c r="J42" s="32" t="s">
        <v>395</v>
      </c>
    </row>
    <row r="43" spans="1:10" ht="25.5">
      <c r="A43" s="216"/>
      <c r="B43" s="21" t="s">
        <v>101</v>
      </c>
      <c r="C43" s="21" t="s">
        <v>54</v>
      </c>
      <c r="D43" s="22" t="s">
        <v>318</v>
      </c>
      <c r="E43" s="86">
        <v>3672000</v>
      </c>
      <c r="G43" s="45">
        <f>E43-F43</f>
        <v>3672000</v>
      </c>
      <c r="H43" s="45">
        <f>+E43-G43-F43</f>
        <v>0</v>
      </c>
      <c r="J43" s="32" t="s">
        <v>395</v>
      </c>
    </row>
    <row r="44" spans="1:10" ht="25.5">
      <c r="A44" s="216"/>
      <c r="B44" s="21" t="s">
        <v>102</v>
      </c>
      <c r="C44" s="21" t="s">
        <v>103</v>
      </c>
      <c r="D44" s="22" t="s">
        <v>319</v>
      </c>
      <c r="E44" s="86">
        <v>2300000</v>
      </c>
      <c r="G44" s="45">
        <f t="shared" si="4"/>
        <v>2300000</v>
      </c>
      <c r="H44" s="45">
        <f t="shared" si="5"/>
        <v>0</v>
      </c>
      <c r="J44" s="32" t="s">
        <v>395</v>
      </c>
    </row>
    <row r="45" spans="1:10" ht="25.5">
      <c r="A45" s="216"/>
      <c r="B45" s="21" t="s">
        <v>108</v>
      </c>
      <c r="C45" s="21" t="s">
        <v>174</v>
      </c>
      <c r="D45" s="22" t="s">
        <v>322</v>
      </c>
      <c r="E45" s="86">
        <v>417300</v>
      </c>
      <c r="G45" s="45">
        <v>417300</v>
      </c>
      <c r="H45" s="45">
        <f>+E45-G45-F45</f>
        <v>0</v>
      </c>
      <c r="J45" s="32" t="s">
        <v>480</v>
      </c>
    </row>
    <row r="46" spans="1:10" ht="25.5">
      <c r="A46" s="216"/>
      <c r="B46" s="21" t="s">
        <v>248</v>
      </c>
      <c r="C46" s="21" t="s">
        <v>249</v>
      </c>
      <c r="D46" s="22" t="s">
        <v>322</v>
      </c>
      <c r="E46" s="86">
        <v>335503.63</v>
      </c>
      <c r="G46" s="86">
        <v>335503.63</v>
      </c>
      <c r="J46" s="32" t="s">
        <v>480</v>
      </c>
    </row>
    <row r="47" spans="1:10" ht="12.75">
      <c r="A47" s="216"/>
      <c r="B47" s="21" t="s">
        <v>250</v>
      </c>
      <c r="C47" s="21" t="s">
        <v>100</v>
      </c>
      <c r="D47" s="22" t="s">
        <v>322</v>
      </c>
      <c r="E47" s="86">
        <v>177751.81</v>
      </c>
      <c r="G47" s="45">
        <v>177752</v>
      </c>
      <c r="H47" s="86"/>
      <c r="J47" s="32" t="s">
        <v>480</v>
      </c>
    </row>
    <row r="48" spans="1:10" ht="12.75">
      <c r="A48" s="216"/>
      <c r="B48" s="21" t="s">
        <v>251</v>
      </c>
      <c r="C48" s="21" t="s">
        <v>201</v>
      </c>
      <c r="D48" s="22" t="s">
        <v>322</v>
      </c>
      <c r="E48" s="86">
        <v>217162.36</v>
      </c>
      <c r="G48" s="86">
        <f>+E48-F48</f>
        <v>217162.36</v>
      </c>
      <c r="H48" s="43"/>
      <c r="J48" s="32" t="s">
        <v>480</v>
      </c>
    </row>
    <row r="49" spans="1:10" ht="25.5">
      <c r="A49" s="216"/>
      <c r="B49" s="21" t="s">
        <v>254</v>
      </c>
      <c r="C49" s="21" t="s">
        <v>255</v>
      </c>
      <c r="D49" s="22" t="s">
        <v>322</v>
      </c>
      <c r="E49" s="86">
        <v>177751.81</v>
      </c>
      <c r="G49" s="45">
        <v>177752</v>
      </c>
      <c r="H49" s="86"/>
      <c r="J49" s="32" t="s">
        <v>480</v>
      </c>
    </row>
    <row r="50" spans="1:10" ht="12.75">
      <c r="A50" s="216"/>
      <c r="B50" s="21" t="s">
        <v>256</v>
      </c>
      <c r="C50" s="21" t="s">
        <v>257</v>
      </c>
      <c r="D50" s="22" t="s">
        <v>322</v>
      </c>
      <c r="E50" s="86">
        <v>705000</v>
      </c>
      <c r="G50" s="45">
        <v>705000</v>
      </c>
      <c r="H50" s="86"/>
      <c r="J50" s="32" t="s">
        <v>480</v>
      </c>
    </row>
    <row r="51" spans="1:10" ht="25.5">
      <c r="A51" s="216"/>
      <c r="B51" s="21" t="s">
        <v>115</v>
      </c>
      <c r="C51" s="21" t="s">
        <v>116</v>
      </c>
      <c r="D51" s="22" t="s">
        <v>324</v>
      </c>
      <c r="E51" s="86">
        <v>100000</v>
      </c>
      <c r="F51" s="45">
        <f>11590.74+19697.33</f>
        <v>31288.07</v>
      </c>
      <c r="G51" s="45">
        <f>+E51-F51</f>
        <v>68711.93</v>
      </c>
      <c r="H51" s="45">
        <f>+E51-G51-F51</f>
        <v>0</v>
      </c>
      <c r="I51" s="89" t="s">
        <v>494</v>
      </c>
      <c r="J51" s="32" t="s">
        <v>395</v>
      </c>
    </row>
    <row r="52" spans="1:10" ht="12.75">
      <c r="A52" s="216"/>
      <c r="B52" s="21" t="s">
        <v>117</v>
      </c>
      <c r="C52" s="21" t="s">
        <v>192</v>
      </c>
      <c r="D52" s="22" t="s">
        <v>325</v>
      </c>
      <c r="E52" s="86">
        <v>70000</v>
      </c>
      <c r="G52" s="45">
        <f aca="true" t="shared" si="6" ref="G52:G64">+E52-F52</f>
        <v>70000</v>
      </c>
      <c r="H52" s="45">
        <f t="shared" si="5"/>
        <v>0</v>
      </c>
      <c r="J52" s="32" t="s">
        <v>391</v>
      </c>
    </row>
    <row r="53" spans="1:10" ht="12.75">
      <c r="A53" s="216"/>
      <c r="B53" s="21" t="s">
        <v>118</v>
      </c>
      <c r="C53" s="21" t="s">
        <v>29</v>
      </c>
      <c r="D53" s="22" t="s">
        <v>326</v>
      </c>
      <c r="E53" s="86">
        <v>1800000</v>
      </c>
      <c r="F53" s="45">
        <f>279701.62+310517.43</f>
        <v>590219.05</v>
      </c>
      <c r="G53" s="45">
        <f t="shared" si="6"/>
        <v>1209780.95</v>
      </c>
      <c r="H53" s="45">
        <f t="shared" si="5"/>
        <v>0</v>
      </c>
      <c r="J53" s="32" t="s">
        <v>395</v>
      </c>
    </row>
    <row r="54" spans="1:10" ht="38.25">
      <c r="A54" s="216"/>
      <c r="B54" s="21" t="s">
        <v>119</v>
      </c>
      <c r="C54" s="21" t="s">
        <v>120</v>
      </c>
      <c r="D54" s="22" t="s">
        <v>327</v>
      </c>
      <c r="E54" s="86">
        <v>671196</v>
      </c>
      <c r="G54" s="45">
        <f>+E54-F54</f>
        <v>671196</v>
      </c>
      <c r="J54" s="32" t="s">
        <v>389</v>
      </c>
    </row>
    <row r="55" spans="1:10" ht="12.75">
      <c r="A55" s="216"/>
      <c r="B55" s="21" t="s">
        <v>121</v>
      </c>
      <c r="C55" s="21" t="s">
        <v>122</v>
      </c>
      <c r="D55" s="22" t="s">
        <v>7</v>
      </c>
      <c r="E55" s="86">
        <v>1000000</v>
      </c>
      <c r="G55" s="45">
        <f t="shared" si="6"/>
        <v>1000000</v>
      </c>
      <c r="H55" s="45">
        <f t="shared" si="5"/>
        <v>0</v>
      </c>
      <c r="J55" s="32" t="s">
        <v>389</v>
      </c>
    </row>
    <row r="56" spans="1:10" ht="38.25">
      <c r="A56" s="216"/>
      <c r="B56" s="21" t="s">
        <v>123</v>
      </c>
      <c r="C56" s="21" t="s">
        <v>124</v>
      </c>
      <c r="D56" s="22" t="s">
        <v>328</v>
      </c>
      <c r="E56" s="86">
        <v>400000</v>
      </c>
      <c r="G56" s="45">
        <f>+E56-F56</f>
        <v>400000</v>
      </c>
      <c r="H56" s="45">
        <f>+E56-G56-F56</f>
        <v>0</v>
      </c>
      <c r="J56" s="32" t="s">
        <v>395</v>
      </c>
    </row>
    <row r="57" spans="1:10" ht="63.75">
      <c r="A57" s="216"/>
      <c r="B57" s="21" t="s">
        <v>125</v>
      </c>
      <c r="C57" s="21" t="s">
        <v>126</v>
      </c>
      <c r="D57" s="22" t="s">
        <v>329</v>
      </c>
      <c r="E57" s="86">
        <v>8400000</v>
      </c>
      <c r="G57" s="45">
        <f t="shared" si="6"/>
        <v>8400000</v>
      </c>
      <c r="H57" s="45">
        <f t="shared" si="5"/>
        <v>0</v>
      </c>
      <c r="I57" s="89" t="s">
        <v>469</v>
      </c>
      <c r="J57" s="32" t="s">
        <v>395</v>
      </c>
    </row>
    <row r="58" spans="1:10" ht="25.5">
      <c r="A58" s="216"/>
      <c r="B58" s="21" t="s">
        <v>132</v>
      </c>
      <c r="C58" s="21" t="s">
        <v>124</v>
      </c>
      <c r="D58" s="22" t="s">
        <v>1</v>
      </c>
      <c r="E58" s="86">
        <v>1000000</v>
      </c>
      <c r="G58" s="45">
        <f t="shared" si="6"/>
        <v>1000000</v>
      </c>
      <c r="H58" s="45">
        <f t="shared" si="5"/>
        <v>0</v>
      </c>
      <c r="J58" s="32" t="s">
        <v>395</v>
      </c>
    </row>
    <row r="59" spans="1:10" ht="25.5">
      <c r="A59" s="216"/>
      <c r="B59" s="21" t="s">
        <v>134</v>
      </c>
      <c r="C59" s="21" t="s">
        <v>221</v>
      </c>
      <c r="D59" s="22" t="s">
        <v>223</v>
      </c>
      <c r="E59" s="86">
        <v>43536</v>
      </c>
      <c r="F59" s="45">
        <v>43536</v>
      </c>
      <c r="G59" s="45">
        <f>+E59-F59</f>
        <v>0</v>
      </c>
      <c r="H59" s="45">
        <f>+E59-G59-F59</f>
        <v>0</v>
      </c>
      <c r="J59" s="32" t="s">
        <v>390</v>
      </c>
    </row>
    <row r="60" spans="1:10" ht="25.5">
      <c r="A60" s="216"/>
      <c r="B60" s="21" t="s">
        <v>135</v>
      </c>
      <c r="C60" s="21" t="s">
        <v>183</v>
      </c>
      <c r="D60" s="22" t="s">
        <v>3</v>
      </c>
      <c r="E60" s="86">
        <v>945000</v>
      </c>
      <c r="F60" s="45">
        <v>58978.16</v>
      </c>
      <c r="G60" s="45">
        <f t="shared" si="6"/>
        <v>886021.84</v>
      </c>
      <c r="H60" s="45">
        <f t="shared" si="5"/>
        <v>0</v>
      </c>
      <c r="I60" s="89" t="s">
        <v>495</v>
      </c>
      <c r="J60" s="32" t="s">
        <v>481</v>
      </c>
    </row>
    <row r="61" spans="1:10" ht="12.75">
      <c r="A61" s="216"/>
      <c r="B61" s="21" t="s">
        <v>137</v>
      </c>
      <c r="C61" s="21" t="s">
        <v>138</v>
      </c>
      <c r="D61" s="22" t="s">
        <v>5</v>
      </c>
      <c r="E61" s="86">
        <v>1349415.2046783627</v>
      </c>
      <c r="F61" s="45">
        <v>109985.8</v>
      </c>
      <c r="G61" s="45">
        <f t="shared" si="6"/>
        <v>1239429.4046783627</v>
      </c>
      <c r="H61" s="45">
        <f t="shared" si="5"/>
        <v>0</v>
      </c>
      <c r="J61" s="32" t="s">
        <v>389</v>
      </c>
    </row>
    <row r="62" spans="1:10" ht="12.75">
      <c r="A62" s="216"/>
      <c r="B62" s="21" t="s">
        <v>139</v>
      </c>
      <c r="C62" s="21" t="s">
        <v>46</v>
      </c>
      <c r="D62" s="22" t="s">
        <v>5</v>
      </c>
      <c r="E62" s="86">
        <v>714546.783625731</v>
      </c>
      <c r="G62" s="45">
        <f>+E62-F62</f>
        <v>714546.783625731</v>
      </c>
      <c r="J62" s="32" t="s">
        <v>389</v>
      </c>
    </row>
    <row r="63" spans="1:10" ht="25.5">
      <c r="A63" s="216"/>
      <c r="B63" s="21" t="s">
        <v>140</v>
      </c>
      <c r="C63" s="21" t="s">
        <v>141</v>
      </c>
      <c r="D63" s="22" t="s">
        <v>5</v>
      </c>
      <c r="E63" s="86">
        <v>936038.0116959064</v>
      </c>
      <c r="F63" s="45">
        <v>365642.68</v>
      </c>
      <c r="G63" s="45">
        <f t="shared" si="6"/>
        <v>570395.3316959064</v>
      </c>
      <c r="H63" s="45">
        <f t="shared" si="5"/>
        <v>0</v>
      </c>
      <c r="I63" s="89" t="s">
        <v>497</v>
      </c>
      <c r="J63" s="32" t="s">
        <v>389</v>
      </c>
    </row>
    <row r="64" spans="1:10" ht="12.75">
      <c r="A64" s="216"/>
      <c r="B64" s="21" t="s">
        <v>148</v>
      </c>
      <c r="C64" s="21" t="s">
        <v>124</v>
      </c>
      <c r="D64" s="22" t="s">
        <v>13</v>
      </c>
      <c r="E64" s="86">
        <v>598550</v>
      </c>
      <c r="G64" s="45">
        <f t="shared" si="6"/>
        <v>598550</v>
      </c>
      <c r="H64" s="45">
        <f t="shared" si="5"/>
        <v>0</v>
      </c>
      <c r="J64" s="32" t="s">
        <v>480</v>
      </c>
    </row>
    <row r="65" spans="1:10" ht="12.75">
      <c r="A65" s="216"/>
      <c r="B65" s="21" t="s">
        <v>149</v>
      </c>
      <c r="C65" s="21" t="s">
        <v>110</v>
      </c>
      <c r="D65" s="22" t="s">
        <v>14</v>
      </c>
      <c r="E65" s="86">
        <v>1400000</v>
      </c>
      <c r="F65" s="45">
        <v>444957.73</v>
      </c>
      <c r="G65" s="45">
        <f aca="true" t="shared" si="7" ref="G65:G70">+E65-F65</f>
        <v>955042.27</v>
      </c>
      <c r="H65" s="45">
        <f>+E65-G65-F65</f>
        <v>0</v>
      </c>
      <c r="J65" s="32" t="s">
        <v>395</v>
      </c>
    </row>
    <row r="66" spans="1:10" ht="12.75">
      <c r="A66" s="216"/>
      <c r="B66" s="21" t="s">
        <v>150</v>
      </c>
      <c r="C66" s="21" t="s">
        <v>81</v>
      </c>
      <c r="D66" s="22" t="s">
        <v>15</v>
      </c>
      <c r="E66" s="86">
        <v>1000870</v>
      </c>
      <c r="G66" s="45">
        <f t="shared" si="7"/>
        <v>1000870</v>
      </c>
      <c r="H66" s="45">
        <f>+E66-G66-F66</f>
        <v>0</v>
      </c>
      <c r="J66" s="32" t="s">
        <v>395</v>
      </c>
    </row>
    <row r="67" spans="1:10" ht="25.5">
      <c r="A67" s="216"/>
      <c r="B67" s="21" t="s">
        <v>154</v>
      </c>
      <c r="C67" s="21" t="s">
        <v>81</v>
      </c>
      <c r="D67" s="22" t="s">
        <v>18</v>
      </c>
      <c r="E67" s="86">
        <v>2999563</v>
      </c>
      <c r="G67" s="45">
        <f t="shared" si="7"/>
        <v>2999563</v>
      </c>
      <c r="H67" s="45">
        <f>+E67-G67-F67</f>
        <v>0</v>
      </c>
      <c r="J67" s="32" t="s">
        <v>391</v>
      </c>
    </row>
    <row r="68" spans="1:10" ht="12.75">
      <c r="A68" s="216"/>
      <c r="B68" s="21" t="s">
        <v>145</v>
      </c>
      <c r="C68" s="21" t="s">
        <v>192</v>
      </c>
      <c r="D68" s="22" t="s">
        <v>10</v>
      </c>
      <c r="E68" s="86">
        <v>70000</v>
      </c>
      <c r="G68" s="45">
        <f t="shared" si="7"/>
        <v>70000</v>
      </c>
      <c r="H68" s="45">
        <f>+E68-G68-F68</f>
        <v>0</v>
      </c>
      <c r="J68" s="32" t="s">
        <v>395</v>
      </c>
    </row>
    <row r="69" spans="1:10" ht="25.5">
      <c r="A69" s="216"/>
      <c r="B69" s="115" t="s">
        <v>236</v>
      </c>
      <c r="C69" s="21" t="s">
        <v>225</v>
      </c>
      <c r="D69" s="22" t="s">
        <v>158</v>
      </c>
      <c r="E69" s="86">
        <v>486602</v>
      </c>
      <c r="F69" s="45">
        <v>486602</v>
      </c>
      <c r="G69" s="45">
        <f t="shared" si="7"/>
        <v>0</v>
      </c>
      <c r="H69" s="45">
        <f t="shared" si="5"/>
        <v>0</v>
      </c>
      <c r="J69" s="32" t="s">
        <v>395</v>
      </c>
    </row>
    <row r="70" spans="1:10" ht="13.5" thickBot="1">
      <c r="A70" s="217"/>
      <c r="B70" s="35"/>
      <c r="C70" s="35" t="s">
        <v>155</v>
      </c>
      <c r="D70" s="36" t="s">
        <v>181</v>
      </c>
      <c r="E70" s="114">
        <v>2325000</v>
      </c>
      <c r="F70" s="47">
        <f>1217+555311.97+52155.55+190932.05+8125.16+6517.74+405.66+873.54</f>
        <v>815538.6700000002</v>
      </c>
      <c r="G70" s="47">
        <f t="shared" si="7"/>
        <v>1509461.3299999998</v>
      </c>
      <c r="H70" s="47">
        <f>+E70-G70-F70</f>
        <v>0</v>
      </c>
      <c r="I70" s="98"/>
      <c r="J70" s="38" t="s">
        <v>390</v>
      </c>
    </row>
    <row r="71" spans="1:10" ht="13.5" thickBot="1">
      <c r="A71" s="154"/>
      <c r="B71" s="116"/>
      <c r="C71" s="116"/>
      <c r="D71" s="101" t="s">
        <v>19</v>
      </c>
      <c r="E71" s="103">
        <f>SUM(E2:E70)</f>
        <v>77500000.47000001</v>
      </c>
      <c r="F71" s="103">
        <f>SUM(F2:F70)</f>
        <v>3144125.1800000006</v>
      </c>
      <c r="G71" s="103">
        <f>SUM(G2:G70)</f>
        <v>71600716.67</v>
      </c>
      <c r="H71" s="103">
        <f>SUM(H2:H70)</f>
        <v>2755159</v>
      </c>
      <c r="I71" s="117"/>
      <c r="J71" s="155"/>
    </row>
    <row r="73" ht="12.75">
      <c r="E73" s="140"/>
    </row>
  </sheetData>
  <autoFilter ref="B1:I71"/>
  <mergeCells count="4">
    <mergeCell ref="A3:A7"/>
    <mergeCell ref="A2:J2"/>
    <mergeCell ref="A8:A36"/>
    <mergeCell ref="A37:A70"/>
  </mergeCells>
  <printOptions gridLines="1" horizontalCentered="1"/>
  <pageMargins left="0.25" right="0.25" top="1" bottom="0.5" header="0.5" footer="0.25"/>
  <pageSetup fitToHeight="10" fitToWidth="1" horizontalDpi="600" verticalDpi="600" orientation="landscape" scale="82" r:id="rId3"/>
  <headerFooter alignWithMargins="0">
    <oddHeader>&amp;C&amp;"Trebuchet MS,Regular"&amp;F
&amp;A</oddHeader>
    <oddFooter>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85" zoomScaleNormal="85" zoomScaleSheetLayoutView="100" workbookViewId="0" topLeftCell="A1">
      <pane xSplit="4" ySplit="2" topLeftCell="E3" activePane="bottomRight" state="frozen"/>
      <selection pane="topLeft" activeCell="C21" sqref="C21"/>
      <selection pane="topRight" activeCell="C21" sqref="C21"/>
      <selection pane="bottomLeft" activeCell="C21" sqref="C21"/>
      <selection pane="bottomRight" activeCell="C21" sqref="C21"/>
    </sheetView>
  </sheetViews>
  <sheetFormatPr defaultColWidth="9.140625" defaultRowHeight="12.75"/>
  <cols>
    <col min="1" max="2" width="10.28125" style="2" hidden="1" customWidth="1"/>
    <col min="3" max="3" width="10.28125" style="2" bestFit="1" customWidth="1"/>
    <col min="4" max="4" width="43.8515625" style="2" customWidth="1"/>
    <col min="5" max="5" width="13.7109375" style="13" customWidth="1"/>
    <col min="6" max="6" width="13.00390625" style="171" customWidth="1"/>
    <col min="7" max="7" width="13.28125" style="8" customWidth="1"/>
    <col min="8" max="8" width="18.7109375" style="12" customWidth="1"/>
    <col min="9" max="16384" width="9.140625" style="2" customWidth="1"/>
  </cols>
  <sheetData>
    <row r="1" spans="1:8" s="5" customFormat="1" ht="30">
      <c r="A1" s="3" t="s">
        <v>168</v>
      </c>
      <c r="B1" s="3" t="s">
        <v>167</v>
      </c>
      <c r="C1" s="3" t="s">
        <v>83</v>
      </c>
      <c r="D1" s="3" t="s">
        <v>176</v>
      </c>
      <c r="E1" s="10" t="s">
        <v>77</v>
      </c>
      <c r="F1" s="168" t="s">
        <v>260</v>
      </c>
      <c r="G1" s="11" t="s">
        <v>258</v>
      </c>
      <c r="H1" s="4" t="s">
        <v>177</v>
      </c>
    </row>
    <row r="2" spans="3:8" ht="15">
      <c r="C2" s="224" t="s">
        <v>337</v>
      </c>
      <c r="D2" s="225"/>
      <c r="E2" s="225"/>
      <c r="F2" s="225"/>
      <c r="G2" s="225"/>
      <c r="H2" s="225"/>
    </row>
    <row r="3" spans="1:8" ht="15">
      <c r="A3" s="6"/>
      <c r="B3" s="9"/>
      <c r="C3" s="14" t="s">
        <v>338</v>
      </c>
      <c r="D3" s="15" t="s">
        <v>339</v>
      </c>
      <c r="E3" s="17">
        <v>100000</v>
      </c>
      <c r="F3" s="169"/>
      <c r="G3" s="8">
        <f>E3-F3</f>
        <v>100000</v>
      </c>
      <c r="H3" s="17"/>
    </row>
    <row r="4" spans="1:8" ht="15">
      <c r="A4" s="6"/>
      <c r="B4" s="9"/>
      <c r="C4" s="14" t="s">
        <v>340</v>
      </c>
      <c r="D4" s="16" t="s">
        <v>341</v>
      </c>
      <c r="E4" s="17">
        <v>100000</v>
      </c>
      <c r="F4" s="169">
        <v>6600</v>
      </c>
      <c r="G4" s="8">
        <f>+E4-F4</f>
        <v>93400</v>
      </c>
      <c r="H4" s="17"/>
    </row>
    <row r="5" spans="1:8" ht="15">
      <c r="A5" s="6"/>
      <c r="B5" s="9"/>
      <c r="C5" s="14" t="s">
        <v>342</v>
      </c>
      <c r="D5" s="15" t="s">
        <v>343</v>
      </c>
      <c r="E5" s="17">
        <v>38165</v>
      </c>
      <c r="F5" s="169"/>
      <c r="G5" s="8">
        <f aca="true" t="shared" si="0" ref="G5:G35">+E5-F5</f>
        <v>38165</v>
      </c>
      <c r="H5" s="17"/>
    </row>
    <row r="6" spans="1:8" ht="25.5">
      <c r="A6" s="6"/>
      <c r="B6" s="9"/>
      <c r="C6" s="14" t="s">
        <v>350</v>
      </c>
      <c r="D6" s="15" t="s">
        <v>351</v>
      </c>
      <c r="E6" s="17">
        <v>98000</v>
      </c>
      <c r="F6" s="169"/>
      <c r="G6" s="8">
        <f t="shared" si="0"/>
        <v>98000</v>
      </c>
      <c r="H6" s="17"/>
    </row>
    <row r="7" spans="1:8" ht="15">
      <c r="A7" s="6"/>
      <c r="B7" s="9"/>
      <c r="C7" s="14" t="s">
        <v>362</v>
      </c>
      <c r="D7" s="16" t="s">
        <v>363</v>
      </c>
      <c r="E7" s="17">
        <v>98179</v>
      </c>
      <c r="F7" s="169"/>
      <c r="G7" s="8">
        <f t="shared" si="0"/>
        <v>98179</v>
      </c>
      <c r="H7" s="17"/>
    </row>
    <row r="8" spans="1:8" ht="15">
      <c r="A8" s="6"/>
      <c r="B8" s="9"/>
      <c r="C8" s="14" t="s">
        <v>364</v>
      </c>
      <c r="D8" s="16" t="s">
        <v>365</v>
      </c>
      <c r="E8" s="17">
        <v>100000</v>
      </c>
      <c r="F8" s="169">
        <v>17800</v>
      </c>
      <c r="G8" s="8">
        <f t="shared" si="0"/>
        <v>82200</v>
      </c>
      <c r="H8" s="17"/>
    </row>
    <row r="9" spans="1:8" ht="15">
      <c r="A9" s="6"/>
      <c r="B9" s="9"/>
      <c r="C9" s="14" t="s">
        <v>366</v>
      </c>
      <c r="D9" s="16" t="s">
        <v>367</v>
      </c>
      <c r="E9" s="17">
        <v>100000</v>
      </c>
      <c r="F9" s="169"/>
      <c r="G9" s="8">
        <f t="shared" si="0"/>
        <v>100000</v>
      </c>
      <c r="H9" s="17"/>
    </row>
    <row r="10" spans="1:8" ht="15">
      <c r="A10" s="6"/>
      <c r="B10" s="9"/>
      <c r="C10" s="14" t="s">
        <v>370</v>
      </c>
      <c r="D10" s="16" t="s">
        <v>371</v>
      </c>
      <c r="E10" s="17">
        <v>100000</v>
      </c>
      <c r="F10" s="169"/>
      <c r="G10" s="8">
        <f t="shared" si="0"/>
        <v>100000</v>
      </c>
      <c r="H10" s="17"/>
    </row>
    <row r="11" spans="1:8" ht="15">
      <c r="A11" s="6"/>
      <c r="B11" s="9"/>
      <c r="C11" s="14" t="s">
        <v>372</v>
      </c>
      <c r="D11" s="16" t="s">
        <v>373</v>
      </c>
      <c r="E11" s="17">
        <v>26311.45</v>
      </c>
      <c r="F11" s="169">
        <v>14540</v>
      </c>
      <c r="G11" s="8">
        <f t="shared" si="0"/>
        <v>11771.45</v>
      </c>
      <c r="H11" s="17"/>
    </row>
    <row r="12" spans="1:8" ht="25.5">
      <c r="A12" s="6"/>
      <c r="B12" s="9"/>
      <c r="C12" s="14" t="s">
        <v>374</v>
      </c>
      <c r="D12" s="16" t="s">
        <v>375</v>
      </c>
      <c r="E12" s="17">
        <v>98378</v>
      </c>
      <c r="F12" s="169"/>
      <c r="G12" s="8">
        <f t="shared" si="0"/>
        <v>98378</v>
      </c>
      <c r="H12" s="17"/>
    </row>
    <row r="13" spans="1:8" ht="15">
      <c r="A13" s="6"/>
      <c r="B13" s="9"/>
      <c r="C13" s="148" t="s">
        <v>428</v>
      </c>
      <c r="D13" t="s">
        <v>429</v>
      </c>
      <c r="E13" s="149">
        <v>100000</v>
      </c>
      <c r="F13" s="169"/>
      <c r="G13" s="8">
        <f t="shared" si="0"/>
        <v>100000</v>
      </c>
      <c r="H13" s="17"/>
    </row>
    <row r="14" spans="1:8" ht="15">
      <c r="A14" s="6"/>
      <c r="B14" s="9"/>
      <c r="C14" s="14" t="s">
        <v>346</v>
      </c>
      <c r="D14" s="15" t="s">
        <v>347</v>
      </c>
      <c r="E14" s="17">
        <v>100000</v>
      </c>
      <c r="F14" s="169"/>
      <c r="G14" s="8">
        <f t="shared" si="0"/>
        <v>100000</v>
      </c>
      <c r="H14" s="17"/>
    </row>
    <row r="15" spans="1:8" ht="15">
      <c r="A15" s="6"/>
      <c r="B15" s="9"/>
      <c r="C15" s="14" t="s">
        <v>348</v>
      </c>
      <c r="D15" s="15" t="s">
        <v>349</v>
      </c>
      <c r="E15" s="17">
        <v>31991</v>
      </c>
      <c r="F15" s="169"/>
      <c r="G15" s="8">
        <f t="shared" si="0"/>
        <v>31991</v>
      </c>
      <c r="H15" s="17"/>
    </row>
    <row r="16" spans="1:8" ht="15">
      <c r="A16" s="6"/>
      <c r="B16" s="9"/>
      <c r="C16" s="14" t="s">
        <v>352</v>
      </c>
      <c r="D16" s="15" t="s">
        <v>353</v>
      </c>
      <c r="E16" s="17">
        <v>33000</v>
      </c>
      <c r="F16" s="169"/>
      <c r="G16" s="8">
        <f t="shared" si="0"/>
        <v>33000</v>
      </c>
      <c r="H16" s="17"/>
    </row>
    <row r="17" spans="1:8" ht="15">
      <c r="A17" s="6"/>
      <c r="B17" s="9"/>
      <c r="C17" s="14" t="s">
        <v>354</v>
      </c>
      <c r="D17" s="15" t="s">
        <v>355</v>
      </c>
      <c r="E17" s="17">
        <v>99000</v>
      </c>
      <c r="F17" s="169"/>
      <c r="G17" s="8">
        <f t="shared" si="0"/>
        <v>99000</v>
      </c>
      <c r="H17" s="17"/>
    </row>
    <row r="18" spans="1:8" ht="15">
      <c r="A18" s="6"/>
      <c r="B18" s="9"/>
      <c r="C18" s="14" t="s">
        <v>356</v>
      </c>
      <c r="D18" s="15" t="s">
        <v>357</v>
      </c>
      <c r="E18" s="17">
        <v>100000</v>
      </c>
      <c r="F18" s="169"/>
      <c r="G18" s="8">
        <f t="shared" si="0"/>
        <v>100000</v>
      </c>
      <c r="H18" s="17"/>
    </row>
    <row r="19" spans="1:8" ht="15">
      <c r="A19" s="6"/>
      <c r="B19" s="9"/>
      <c r="C19" s="14" t="s">
        <v>358</v>
      </c>
      <c r="D19" s="16" t="s">
        <v>359</v>
      </c>
      <c r="E19" s="17">
        <v>100000</v>
      </c>
      <c r="F19" s="169"/>
      <c r="G19" s="8">
        <f t="shared" si="0"/>
        <v>100000</v>
      </c>
      <c r="H19" s="17"/>
    </row>
    <row r="20" spans="1:8" ht="15">
      <c r="A20" s="6"/>
      <c r="B20" s="9"/>
      <c r="C20" s="14" t="s">
        <v>360</v>
      </c>
      <c r="D20" s="16" t="s">
        <v>361</v>
      </c>
      <c r="E20" s="17">
        <v>75628</v>
      </c>
      <c r="F20" s="169"/>
      <c r="G20" s="8">
        <f t="shared" si="0"/>
        <v>75628</v>
      </c>
      <c r="H20" s="17"/>
    </row>
    <row r="21" spans="1:8" ht="15">
      <c r="A21" s="6"/>
      <c r="B21" s="9"/>
      <c r="C21" s="14" t="s">
        <v>344</v>
      </c>
      <c r="D21" s="15" t="s">
        <v>345</v>
      </c>
      <c r="E21" s="17">
        <v>100000</v>
      </c>
      <c r="F21" s="169"/>
      <c r="G21" s="8">
        <f t="shared" si="0"/>
        <v>100000</v>
      </c>
      <c r="H21" s="17"/>
    </row>
    <row r="22" spans="1:8" ht="15">
      <c r="A22" s="6"/>
      <c r="B22" s="9"/>
      <c r="C22" s="14" t="s">
        <v>368</v>
      </c>
      <c r="D22" s="16" t="s">
        <v>369</v>
      </c>
      <c r="E22" s="17">
        <v>100000</v>
      </c>
      <c r="F22" s="169"/>
      <c r="G22" s="8">
        <f t="shared" si="0"/>
        <v>100000</v>
      </c>
      <c r="H22" s="17"/>
    </row>
    <row r="23" spans="1:8" ht="25.5">
      <c r="A23" s="6"/>
      <c r="B23" s="9"/>
      <c r="C23" s="14" t="s">
        <v>376</v>
      </c>
      <c r="D23" s="16" t="s">
        <v>377</v>
      </c>
      <c r="E23" s="17">
        <v>35500</v>
      </c>
      <c r="F23" s="169"/>
      <c r="G23" s="8">
        <f t="shared" si="0"/>
        <v>35500</v>
      </c>
      <c r="H23" s="17"/>
    </row>
    <row r="24" spans="1:8" ht="15">
      <c r="A24" s="6"/>
      <c r="B24" s="9"/>
      <c r="C24" s="148" t="s">
        <v>430</v>
      </c>
      <c r="D24" t="s">
        <v>431</v>
      </c>
      <c r="E24" s="149">
        <v>100000</v>
      </c>
      <c r="F24" s="169"/>
      <c r="G24" s="8">
        <f t="shared" si="0"/>
        <v>100000</v>
      </c>
      <c r="H24" s="17"/>
    </row>
    <row r="25" spans="1:8" ht="15">
      <c r="A25" s="6"/>
      <c r="B25" s="9"/>
      <c r="C25" s="148" t="s">
        <v>432</v>
      </c>
      <c r="D25" t="s">
        <v>433</v>
      </c>
      <c r="E25" s="149">
        <v>100000</v>
      </c>
      <c r="F25" s="169"/>
      <c r="G25" s="8">
        <f t="shared" si="0"/>
        <v>100000</v>
      </c>
      <c r="H25" s="17"/>
    </row>
    <row r="26" spans="1:8" ht="15">
      <c r="A26" s="6"/>
      <c r="B26" s="9"/>
      <c r="C26" s="148" t="s">
        <v>434</v>
      </c>
      <c r="D26" t="s">
        <v>435</v>
      </c>
      <c r="E26" s="149">
        <v>100000</v>
      </c>
      <c r="F26" s="169"/>
      <c r="G26" s="8">
        <f t="shared" si="0"/>
        <v>100000</v>
      </c>
      <c r="H26" s="17"/>
    </row>
    <row r="27" spans="1:8" ht="15">
      <c r="A27" s="6"/>
      <c r="B27" s="9"/>
      <c r="C27" s="148" t="s">
        <v>436</v>
      </c>
      <c r="D27" t="s">
        <v>437</v>
      </c>
      <c r="E27" s="149">
        <v>99386</v>
      </c>
      <c r="F27" s="169"/>
      <c r="G27" s="8">
        <f t="shared" si="0"/>
        <v>99386</v>
      </c>
      <c r="H27" s="17"/>
    </row>
    <row r="28" spans="1:8" ht="15">
      <c r="A28" s="6"/>
      <c r="B28" s="9"/>
      <c r="C28" s="148" t="s">
        <v>438</v>
      </c>
      <c r="D28" t="s">
        <v>439</v>
      </c>
      <c r="E28" s="149">
        <v>100000</v>
      </c>
      <c r="F28" s="169"/>
      <c r="G28" s="8">
        <f t="shared" si="0"/>
        <v>100000</v>
      </c>
      <c r="H28" s="17"/>
    </row>
    <row r="29" spans="1:8" ht="15">
      <c r="A29" s="6"/>
      <c r="B29" s="9"/>
      <c r="C29" s="148" t="s">
        <v>472</v>
      </c>
      <c r="D29" t="s">
        <v>473</v>
      </c>
      <c r="E29" s="149">
        <v>99982</v>
      </c>
      <c r="F29" s="169"/>
      <c r="G29" s="8">
        <f t="shared" si="0"/>
        <v>99982</v>
      </c>
      <c r="H29" s="17"/>
    </row>
    <row r="30" spans="1:8" ht="15">
      <c r="A30" s="6"/>
      <c r="B30" s="9"/>
      <c r="C30" s="148" t="s">
        <v>440</v>
      </c>
      <c r="D30" t="s">
        <v>441</v>
      </c>
      <c r="E30" s="149">
        <v>75618</v>
      </c>
      <c r="F30" s="169">
        <v>21018</v>
      </c>
      <c r="G30" s="8">
        <f t="shared" si="0"/>
        <v>54600</v>
      </c>
      <c r="H30" s="17"/>
    </row>
    <row r="31" spans="1:8" ht="15">
      <c r="A31" s="6"/>
      <c r="B31" s="9"/>
      <c r="C31" s="148" t="s">
        <v>442</v>
      </c>
      <c r="D31" t="s">
        <v>443</v>
      </c>
      <c r="E31" s="149">
        <v>100000</v>
      </c>
      <c r="F31" s="169"/>
      <c r="G31" s="8">
        <f t="shared" si="0"/>
        <v>100000</v>
      </c>
      <c r="H31" s="17"/>
    </row>
    <row r="32" spans="1:8" ht="15">
      <c r="A32" s="6"/>
      <c r="B32" s="9"/>
      <c r="C32" s="148" t="s">
        <v>444</v>
      </c>
      <c r="D32" t="s">
        <v>445</v>
      </c>
      <c r="E32" s="149">
        <v>99741</v>
      </c>
      <c r="F32" s="169"/>
      <c r="G32" s="8">
        <f t="shared" si="0"/>
        <v>99741</v>
      </c>
      <c r="H32" s="17"/>
    </row>
    <row r="33" spans="1:8" ht="15">
      <c r="A33" s="6"/>
      <c r="B33" s="9"/>
      <c r="C33" s="148" t="s">
        <v>446</v>
      </c>
      <c r="D33" t="s">
        <v>447</v>
      </c>
      <c r="E33" s="149">
        <v>100000</v>
      </c>
      <c r="F33" s="169"/>
      <c r="G33" s="8">
        <f t="shared" si="0"/>
        <v>100000</v>
      </c>
      <c r="H33" s="17"/>
    </row>
    <row r="34" spans="1:8" ht="15">
      <c r="A34" s="6"/>
      <c r="B34" s="9"/>
      <c r="C34" s="148" t="s">
        <v>448</v>
      </c>
      <c r="D34" t="s">
        <v>449</v>
      </c>
      <c r="E34" s="149">
        <v>100000</v>
      </c>
      <c r="F34" s="169"/>
      <c r="G34" s="8">
        <f t="shared" si="0"/>
        <v>100000</v>
      </c>
      <c r="H34" s="17"/>
    </row>
    <row r="35" spans="1:8" ht="15">
      <c r="A35" s="6"/>
      <c r="B35" s="9"/>
      <c r="C35" s="148" t="s">
        <v>450</v>
      </c>
      <c r="D35" t="s">
        <v>451</v>
      </c>
      <c r="E35" s="149">
        <v>93575</v>
      </c>
      <c r="F35" s="169"/>
      <c r="G35" s="8">
        <f t="shared" si="0"/>
        <v>93575</v>
      </c>
      <c r="H35" s="17"/>
    </row>
    <row r="36" spans="1:8" ht="15.75" thickBot="1">
      <c r="A36" s="6"/>
      <c r="B36" s="9"/>
      <c r="C36" s="148" t="s">
        <v>452</v>
      </c>
      <c r="D36" t="s">
        <v>453</v>
      </c>
      <c r="E36" s="149">
        <v>100000</v>
      </c>
      <c r="F36" s="169"/>
      <c r="G36" s="8">
        <f>+E36-F36</f>
        <v>100000</v>
      </c>
      <c r="H36" s="17"/>
    </row>
    <row r="37" spans="1:8" s="1" customFormat="1" ht="13.5" thickBot="1">
      <c r="A37" s="7"/>
      <c r="B37" s="7"/>
      <c r="C37" s="150"/>
      <c r="D37" s="151"/>
      <c r="E37" s="152">
        <f>SUM(E3:E36)</f>
        <v>3002454.45</v>
      </c>
      <c r="F37" s="170">
        <f>SUM(F3:F36)</f>
        <v>59958</v>
      </c>
      <c r="G37" s="152">
        <f>SUM(G3:G36)</f>
        <v>2942496.45</v>
      </c>
      <c r="H37" s="153"/>
    </row>
    <row r="41" ht="15">
      <c r="C41" s="167"/>
    </row>
  </sheetData>
  <autoFilter ref="A1:H37"/>
  <mergeCells count="1">
    <mergeCell ref="C2:H2"/>
  </mergeCells>
  <printOptions gridLines="1" horizontalCentered="1"/>
  <pageMargins left="0.25" right="0.25" top="1" bottom="0.5" header="0.5" footer="0.25"/>
  <pageSetup fitToHeight="10" fitToWidth="1" horizontalDpi="600" verticalDpi="600" orientation="landscape" r:id="rId1"/>
  <headerFooter alignWithMargins="0">
    <oddHeader>&amp;C&amp;"Trebuchet MS,Regular"&amp;F
&amp;A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="85" zoomScaleNormal="85" zoomScaleSheetLayoutView="100" workbookViewId="0" topLeftCell="A1">
      <pane xSplit="2" ySplit="2" topLeftCell="C3" activePane="bottomRight" state="frozen"/>
      <selection pane="topLeft" activeCell="C21" sqref="C21"/>
      <selection pane="topRight" activeCell="C21" sqref="C21"/>
      <selection pane="bottomLeft" activeCell="C21" sqref="C21"/>
      <selection pane="bottomRight" activeCell="C21" sqref="C21"/>
    </sheetView>
  </sheetViews>
  <sheetFormatPr defaultColWidth="9.140625" defaultRowHeight="12.75"/>
  <cols>
    <col min="1" max="1" width="10.28125" style="85" bestFit="1" customWidth="1"/>
    <col min="2" max="2" width="18.8515625" style="85" customWidth="1"/>
    <col min="3" max="3" width="45.421875" style="85" customWidth="1"/>
    <col min="4" max="4" width="13.57421875" style="85" customWidth="1"/>
    <col min="5" max="5" width="13.00390625" style="87" customWidth="1"/>
    <col min="6" max="6" width="13.28125" style="87" customWidth="1"/>
    <col min="7" max="7" width="14.140625" style="87" hidden="1" customWidth="1"/>
    <col min="8" max="8" width="18.7109375" style="88" hidden="1" customWidth="1"/>
    <col min="9" max="9" width="10.28125" style="88" hidden="1" customWidth="1"/>
    <col min="10" max="10" width="15.140625" style="88" customWidth="1"/>
    <col min="11" max="16384" width="9.140625" style="85" customWidth="1"/>
  </cols>
  <sheetData>
    <row r="1" spans="1:10" s="18" customFormat="1" ht="38.25">
      <c r="A1" s="92" t="s">
        <v>83</v>
      </c>
      <c r="B1" s="92" t="s">
        <v>176</v>
      </c>
      <c r="C1" s="92" t="s">
        <v>262</v>
      </c>
      <c r="D1" s="93" t="s">
        <v>77</v>
      </c>
      <c r="E1" s="94" t="s">
        <v>260</v>
      </c>
      <c r="F1" s="95" t="s">
        <v>258</v>
      </c>
      <c r="G1" s="95" t="s">
        <v>259</v>
      </c>
      <c r="H1" s="94" t="s">
        <v>177</v>
      </c>
      <c r="I1" s="94" t="s">
        <v>378</v>
      </c>
      <c r="J1" s="96" t="s">
        <v>387</v>
      </c>
    </row>
    <row r="2" spans="1:10" ht="13.5" thickBot="1">
      <c r="A2" s="226" t="s">
        <v>454</v>
      </c>
      <c r="B2" s="226"/>
      <c r="C2" s="226"/>
      <c r="D2" s="226"/>
      <c r="E2" s="226"/>
      <c r="F2" s="226"/>
      <c r="G2" s="226"/>
      <c r="H2" s="226"/>
      <c r="I2" s="226"/>
      <c r="J2" s="226"/>
    </row>
    <row r="3" spans="1:10" ht="25.5" customHeight="1">
      <c r="A3" s="28" t="s">
        <v>420</v>
      </c>
      <c r="B3" s="28" t="s">
        <v>54</v>
      </c>
      <c r="C3" s="29" t="s">
        <v>421</v>
      </c>
      <c r="D3" s="113">
        <v>8500000</v>
      </c>
      <c r="E3" s="42"/>
      <c r="F3" s="42">
        <f>D3-E3</f>
        <v>8500000</v>
      </c>
      <c r="G3" s="42">
        <f>+D3-F3-E3</f>
        <v>0</v>
      </c>
      <c r="H3" s="97"/>
      <c r="I3" s="97" t="s">
        <v>400</v>
      </c>
      <c r="J3" s="31" t="s">
        <v>389</v>
      </c>
    </row>
    <row r="4" spans="1:10" ht="12.75">
      <c r="A4" s="21" t="s">
        <v>422</v>
      </c>
      <c r="B4" s="21" t="s">
        <v>423</v>
      </c>
      <c r="C4" s="22" t="s">
        <v>424</v>
      </c>
      <c r="D4" s="86">
        <v>3510000</v>
      </c>
      <c r="E4" s="45"/>
      <c r="F4" s="45">
        <f>D4-E4</f>
        <v>3510000</v>
      </c>
      <c r="G4" s="45">
        <f>+D4-F4-E4</f>
        <v>0</v>
      </c>
      <c r="H4" s="89"/>
      <c r="I4" s="89" t="s">
        <v>400</v>
      </c>
      <c r="J4" s="32" t="s">
        <v>389</v>
      </c>
    </row>
    <row r="5" spans="1:10" ht="12.75">
      <c r="A5" s="21" t="s">
        <v>425</v>
      </c>
      <c r="B5" s="21" t="s">
        <v>418</v>
      </c>
      <c r="C5" s="22" t="s">
        <v>426</v>
      </c>
      <c r="D5" s="86">
        <v>1439980</v>
      </c>
      <c r="E5" s="45"/>
      <c r="F5" s="45">
        <f>D5-E5</f>
        <v>1439980</v>
      </c>
      <c r="G5" s="45">
        <f>+D5-F5-E5</f>
        <v>0</v>
      </c>
      <c r="H5" s="89"/>
      <c r="I5" s="89"/>
      <c r="J5" s="32" t="s">
        <v>389</v>
      </c>
    </row>
    <row r="6" spans="1:10" ht="12.75">
      <c r="A6" s="21"/>
      <c r="B6" s="21" t="s">
        <v>419</v>
      </c>
      <c r="C6" s="22" t="s">
        <v>427</v>
      </c>
      <c r="D6" s="86">
        <v>150020</v>
      </c>
      <c r="E6" s="45"/>
      <c r="F6" s="45">
        <f>D6-E6</f>
        <v>150020</v>
      </c>
      <c r="G6" s="45">
        <f>+D6-F6-E6</f>
        <v>0</v>
      </c>
      <c r="H6" s="89"/>
      <c r="I6" s="89" t="s">
        <v>400</v>
      </c>
      <c r="J6" s="32"/>
    </row>
    <row r="7" spans="1:10" ht="13.5" thickBot="1">
      <c r="A7" s="116"/>
      <c r="B7" s="116"/>
      <c r="C7" s="101" t="s">
        <v>417</v>
      </c>
      <c r="D7" s="103">
        <f>SUM(D2:D6)</f>
        <v>13600000</v>
      </c>
      <c r="E7" s="103">
        <f>SUM(E2:E6)</f>
        <v>0</v>
      </c>
      <c r="F7" s="103">
        <f>SUM(F2:F6)</f>
        <v>13600000</v>
      </c>
      <c r="G7" s="103">
        <f>SUM(G2:G6)</f>
        <v>0</v>
      </c>
      <c r="H7" s="117"/>
      <c r="I7" s="117"/>
      <c r="J7" s="117"/>
    </row>
    <row r="9" ht="12.75">
      <c r="D9" s="111"/>
    </row>
    <row r="10" ht="12.75">
      <c r="D10" s="112"/>
    </row>
  </sheetData>
  <autoFilter ref="A1:H7"/>
  <mergeCells count="1">
    <mergeCell ref="A2:J2"/>
  </mergeCells>
  <printOptions gridLines="1" horizontalCentered="1"/>
  <pageMargins left="0.25" right="0.25" top="1" bottom="0.5" header="0.5" footer="0.25"/>
  <pageSetup fitToHeight="10" fitToWidth="1" horizontalDpi="600" verticalDpi="600" orientation="landscape" r:id="rId1"/>
  <headerFooter alignWithMargins="0">
    <oddHeader>&amp;C&amp;"Trebuchet MS,Regular"&amp;F
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DC-GOV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TurnerL</dc:creator>
  <cp:keywords/>
  <dc:description/>
  <cp:lastModifiedBy>cgrier</cp:lastModifiedBy>
  <cp:lastPrinted>2006-03-09T16:22:28Z</cp:lastPrinted>
  <dcterms:created xsi:type="dcterms:W3CDTF">2005-03-16T19:08:52Z</dcterms:created>
  <dcterms:modified xsi:type="dcterms:W3CDTF">2006-03-28T14:23:16Z</dcterms:modified>
  <cp:category/>
  <cp:version/>
  <cp:contentType/>
  <cp:contentStatus/>
</cp:coreProperties>
</file>